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iaxis365-my.sharepoint.com/personal/paul_sheppard_ipexamerica_com/Documents/Desktop/"/>
    </mc:Choice>
  </mc:AlternateContent>
  <xr:revisionPtr revIDLastSave="14" documentId="8_{800136D2-88D9-4A47-895F-9DC64D1CCC52}" xr6:coauthVersionLast="47" xr6:coauthVersionMax="47" xr10:uidLastSave="{7907C979-D356-4EB3-A6DB-8E36CBC49452}"/>
  <bookViews>
    <workbookView xWindow="28680" yWindow="-120" windowWidth="29040" windowHeight="15720" xr2:uid="{00000000-000D-0000-FFFF-FFFF00000000}"/>
  </bookViews>
  <sheets>
    <sheet name="U19-020125-IPSP" sheetId="1" r:id="rId1"/>
  </sheets>
  <definedNames>
    <definedName name="_xlnm._FilterDatabase" localSheetId="0" hidden="1">'U19-020125-IPSP'!$A$1:$M$1124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D2" i="1"/>
  <c r="K2" i="1"/>
  <c r="C3" i="1"/>
  <c r="D3" i="1"/>
  <c r="K3" i="1"/>
  <c r="C4" i="1"/>
  <c r="D4" i="1"/>
  <c r="K4" i="1"/>
  <c r="C5" i="1"/>
  <c r="D5" i="1"/>
  <c r="K5" i="1"/>
  <c r="C6" i="1"/>
  <c r="D6" i="1"/>
  <c r="K6" i="1"/>
  <c r="C7" i="1"/>
  <c r="D7" i="1"/>
  <c r="K7" i="1"/>
  <c r="C8" i="1"/>
  <c r="D8" i="1"/>
  <c r="K8" i="1"/>
  <c r="C9" i="1"/>
  <c r="D9" i="1"/>
  <c r="K9" i="1"/>
  <c r="C10" i="1"/>
  <c r="D10" i="1"/>
  <c r="K10" i="1"/>
  <c r="C11" i="1"/>
  <c r="D11" i="1"/>
  <c r="K11" i="1"/>
  <c r="C12" i="1"/>
  <c r="D12" i="1"/>
  <c r="K12" i="1"/>
  <c r="C13" i="1"/>
  <c r="D13" i="1"/>
  <c r="K13" i="1"/>
  <c r="C14" i="1"/>
  <c r="D14" i="1"/>
  <c r="K14" i="1"/>
  <c r="C15" i="1"/>
  <c r="D15" i="1"/>
  <c r="K15" i="1"/>
  <c r="C16" i="1"/>
  <c r="D16" i="1"/>
  <c r="K16" i="1"/>
  <c r="C17" i="1"/>
  <c r="D17" i="1"/>
  <c r="K17" i="1"/>
  <c r="C18" i="1"/>
  <c r="D18" i="1"/>
  <c r="K18" i="1"/>
  <c r="C19" i="1"/>
  <c r="D19" i="1"/>
  <c r="K19" i="1"/>
  <c r="C20" i="1"/>
  <c r="D20" i="1"/>
  <c r="K20" i="1"/>
  <c r="C21" i="1"/>
  <c r="D21" i="1"/>
  <c r="K21" i="1"/>
  <c r="C22" i="1"/>
  <c r="D22" i="1"/>
  <c r="K22" i="1"/>
  <c r="C23" i="1"/>
  <c r="D23" i="1"/>
  <c r="K23" i="1"/>
  <c r="C24" i="1"/>
  <c r="D24" i="1"/>
  <c r="K24" i="1"/>
  <c r="C25" i="1"/>
  <c r="D25" i="1"/>
  <c r="K25" i="1"/>
  <c r="C26" i="1"/>
  <c r="D26" i="1"/>
  <c r="K26" i="1"/>
  <c r="C27" i="1"/>
  <c r="D27" i="1"/>
  <c r="K27" i="1"/>
  <c r="C28" i="1"/>
  <c r="D28" i="1"/>
  <c r="K28" i="1"/>
  <c r="C29" i="1"/>
  <c r="D29" i="1"/>
  <c r="K29" i="1"/>
  <c r="C30" i="1"/>
  <c r="D30" i="1"/>
  <c r="K30" i="1"/>
  <c r="C31" i="1"/>
  <c r="D31" i="1"/>
  <c r="K31" i="1"/>
  <c r="C32" i="1"/>
  <c r="D32" i="1"/>
  <c r="K32" i="1"/>
  <c r="C33" i="1"/>
  <c r="D33" i="1"/>
  <c r="K33" i="1"/>
  <c r="C34" i="1"/>
  <c r="D34" i="1"/>
  <c r="K34" i="1"/>
  <c r="C35" i="1"/>
  <c r="D35" i="1"/>
  <c r="K35" i="1"/>
  <c r="C36" i="1"/>
  <c r="D36" i="1"/>
  <c r="K36" i="1"/>
  <c r="C37" i="1"/>
  <c r="D37" i="1"/>
  <c r="K37" i="1"/>
  <c r="C38" i="1"/>
  <c r="D38" i="1"/>
  <c r="K38" i="1"/>
  <c r="C39" i="1"/>
  <c r="D39" i="1"/>
  <c r="K39" i="1"/>
  <c r="C40" i="1"/>
  <c r="D40" i="1"/>
  <c r="K40" i="1"/>
  <c r="C41" i="1"/>
  <c r="D41" i="1"/>
  <c r="K41" i="1"/>
  <c r="C42" i="1"/>
  <c r="D42" i="1"/>
  <c r="K42" i="1"/>
  <c r="C43" i="1"/>
  <c r="D43" i="1"/>
  <c r="K43" i="1"/>
  <c r="C44" i="1"/>
  <c r="D44" i="1"/>
  <c r="K44" i="1"/>
  <c r="C45" i="1"/>
  <c r="D45" i="1"/>
  <c r="K45" i="1"/>
  <c r="C46" i="1"/>
  <c r="D46" i="1"/>
  <c r="K46" i="1"/>
  <c r="C47" i="1"/>
  <c r="D47" i="1"/>
  <c r="K47" i="1"/>
  <c r="C48" i="1"/>
  <c r="D48" i="1"/>
  <c r="K48" i="1"/>
  <c r="C49" i="1"/>
  <c r="D49" i="1"/>
  <c r="K49" i="1"/>
  <c r="C50" i="1"/>
  <c r="D50" i="1"/>
  <c r="K50" i="1"/>
  <c r="C51" i="1"/>
  <c r="D51" i="1"/>
  <c r="K51" i="1"/>
  <c r="C52" i="1"/>
  <c r="D52" i="1"/>
  <c r="K52" i="1"/>
  <c r="C53" i="1"/>
  <c r="D53" i="1"/>
  <c r="K53" i="1"/>
  <c r="C54" i="1"/>
  <c r="D54" i="1"/>
  <c r="K54" i="1"/>
  <c r="C55" i="1"/>
  <c r="D55" i="1"/>
  <c r="K55" i="1"/>
  <c r="C56" i="1"/>
  <c r="D56" i="1"/>
  <c r="K56" i="1"/>
  <c r="C57" i="1"/>
  <c r="D57" i="1"/>
  <c r="K57" i="1"/>
  <c r="C58" i="1"/>
  <c r="D58" i="1"/>
  <c r="K58" i="1"/>
  <c r="C59" i="1"/>
  <c r="D59" i="1"/>
  <c r="K59" i="1"/>
  <c r="C60" i="1"/>
  <c r="D60" i="1"/>
  <c r="K60" i="1"/>
  <c r="C61" i="1"/>
  <c r="D61" i="1"/>
  <c r="K61" i="1"/>
  <c r="C62" i="1"/>
  <c r="D62" i="1"/>
  <c r="K62" i="1"/>
  <c r="C63" i="1"/>
  <c r="D63" i="1"/>
  <c r="K63" i="1"/>
  <c r="C64" i="1"/>
  <c r="D64" i="1"/>
  <c r="K64" i="1"/>
  <c r="C65" i="1"/>
  <c r="D65" i="1"/>
  <c r="K65" i="1"/>
  <c r="C66" i="1"/>
  <c r="D66" i="1"/>
  <c r="K66" i="1"/>
  <c r="C67" i="1"/>
  <c r="D67" i="1"/>
  <c r="K67" i="1"/>
  <c r="C68" i="1"/>
  <c r="D68" i="1"/>
  <c r="K68" i="1"/>
  <c r="C69" i="1"/>
  <c r="D69" i="1"/>
  <c r="K69" i="1"/>
  <c r="C70" i="1"/>
  <c r="D70" i="1"/>
  <c r="K70" i="1"/>
  <c r="C71" i="1"/>
  <c r="D71" i="1"/>
  <c r="K71" i="1"/>
  <c r="C72" i="1"/>
  <c r="D72" i="1"/>
  <c r="K72" i="1"/>
  <c r="C73" i="1"/>
  <c r="D73" i="1"/>
  <c r="K73" i="1"/>
  <c r="C74" i="1"/>
  <c r="D74" i="1"/>
  <c r="K74" i="1"/>
  <c r="C75" i="1"/>
  <c r="D75" i="1"/>
  <c r="K75" i="1"/>
  <c r="C76" i="1"/>
  <c r="D76" i="1"/>
  <c r="K76" i="1"/>
  <c r="C77" i="1"/>
  <c r="D77" i="1"/>
  <c r="K77" i="1"/>
  <c r="C78" i="1"/>
  <c r="D78" i="1"/>
  <c r="K78" i="1"/>
  <c r="C79" i="1"/>
  <c r="D79" i="1"/>
  <c r="K79" i="1"/>
  <c r="C80" i="1"/>
  <c r="D80" i="1"/>
  <c r="K80" i="1"/>
  <c r="C81" i="1"/>
  <c r="D81" i="1"/>
  <c r="K81" i="1"/>
  <c r="C82" i="1"/>
  <c r="D82" i="1"/>
  <c r="K82" i="1"/>
  <c r="C83" i="1"/>
  <c r="D83" i="1"/>
  <c r="K83" i="1"/>
  <c r="C84" i="1"/>
  <c r="D84" i="1"/>
  <c r="K84" i="1"/>
  <c r="C85" i="1"/>
  <c r="D85" i="1"/>
  <c r="K85" i="1"/>
  <c r="C86" i="1"/>
  <c r="D86" i="1"/>
  <c r="K86" i="1"/>
  <c r="C87" i="1"/>
  <c r="D87" i="1"/>
  <c r="K87" i="1"/>
  <c r="C88" i="1"/>
  <c r="D88" i="1"/>
  <c r="K88" i="1"/>
  <c r="C89" i="1"/>
  <c r="D89" i="1"/>
  <c r="K89" i="1"/>
  <c r="C90" i="1"/>
  <c r="D90" i="1"/>
  <c r="K90" i="1"/>
  <c r="C91" i="1"/>
  <c r="D91" i="1"/>
  <c r="K91" i="1"/>
  <c r="C92" i="1"/>
  <c r="D92" i="1"/>
  <c r="K92" i="1"/>
  <c r="C93" i="1"/>
  <c r="D93" i="1"/>
  <c r="K93" i="1"/>
  <c r="C94" i="1"/>
  <c r="D94" i="1"/>
  <c r="K94" i="1"/>
  <c r="C95" i="1"/>
  <c r="D95" i="1"/>
  <c r="K95" i="1"/>
  <c r="C96" i="1"/>
  <c r="D96" i="1"/>
  <c r="K96" i="1"/>
  <c r="C97" i="1"/>
  <c r="D97" i="1"/>
  <c r="K97" i="1"/>
  <c r="C98" i="1"/>
  <c r="D98" i="1"/>
  <c r="K98" i="1"/>
  <c r="C99" i="1"/>
  <c r="D99" i="1"/>
  <c r="K99" i="1"/>
  <c r="C100" i="1"/>
  <c r="D100" i="1"/>
  <c r="K100" i="1"/>
  <c r="C101" i="1"/>
  <c r="D101" i="1"/>
  <c r="K101" i="1"/>
  <c r="C102" i="1"/>
  <c r="D102" i="1"/>
  <c r="K102" i="1"/>
  <c r="C103" i="1"/>
  <c r="D103" i="1"/>
  <c r="K103" i="1"/>
  <c r="C104" i="1"/>
  <c r="D104" i="1"/>
  <c r="K104" i="1"/>
  <c r="C105" i="1"/>
  <c r="D105" i="1"/>
  <c r="K105" i="1"/>
  <c r="C106" i="1"/>
  <c r="D106" i="1"/>
  <c r="K106" i="1"/>
  <c r="C107" i="1"/>
  <c r="D107" i="1"/>
  <c r="K107" i="1"/>
  <c r="C108" i="1"/>
  <c r="D108" i="1"/>
  <c r="K108" i="1"/>
  <c r="C109" i="1"/>
  <c r="D109" i="1"/>
  <c r="K109" i="1"/>
  <c r="C110" i="1"/>
  <c r="D110" i="1"/>
  <c r="K110" i="1"/>
  <c r="C111" i="1"/>
  <c r="D111" i="1"/>
  <c r="K111" i="1"/>
  <c r="C112" i="1"/>
  <c r="D112" i="1"/>
  <c r="K112" i="1"/>
  <c r="C113" i="1"/>
  <c r="D113" i="1"/>
  <c r="K113" i="1"/>
  <c r="C114" i="1"/>
  <c r="D114" i="1"/>
  <c r="K114" i="1"/>
  <c r="C115" i="1"/>
  <c r="D115" i="1"/>
  <c r="K115" i="1"/>
  <c r="C116" i="1"/>
  <c r="D116" i="1"/>
  <c r="K116" i="1"/>
  <c r="C117" i="1"/>
  <c r="D117" i="1"/>
  <c r="K117" i="1"/>
  <c r="C118" i="1"/>
  <c r="D118" i="1"/>
  <c r="K118" i="1"/>
  <c r="C119" i="1"/>
  <c r="D119" i="1"/>
  <c r="K119" i="1"/>
  <c r="C120" i="1"/>
  <c r="D120" i="1"/>
  <c r="K120" i="1"/>
  <c r="C121" i="1"/>
  <c r="D121" i="1"/>
  <c r="K121" i="1"/>
  <c r="C122" i="1"/>
  <c r="D122" i="1"/>
  <c r="K122" i="1"/>
  <c r="C123" i="1"/>
  <c r="D123" i="1"/>
  <c r="K123" i="1"/>
  <c r="C124" i="1"/>
  <c r="D124" i="1"/>
  <c r="K124" i="1"/>
  <c r="C125" i="1"/>
  <c r="D125" i="1"/>
  <c r="K125" i="1"/>
  <c r="C126" i="1"/>
  <c r="D126" i="1"/>
  <c r="K126" i="1"/>
  <c r="C127" i="1"/>
  <c r="D127" i="1"/>
  <c r="K127" i="1"/>
  <c r="C128" i="1"/>
  <c r="D128" i="1"/>
  <c r="K128" i="1"/>
  <c r="C129" i="1"/>
  <c r="D129" i="1"/>
  <c r="K129" i="1"/>
  <c r="C130" i="1"/>
  <c r="D130" i="1"/>
  <c r="K130" i="1"/>
  <c r="C131" i="1"/>
  <c r="D131" i="1"/>
  <c r="K131" i="1"/>
  <c r="C132" i="1"/>
  <c r="D132" i="1"/>
  <c r="K132" i="1"/>
  <c r="C133" i="1"/>
  <c r="D133" i="1"/>
  <c r="K133" i="1"/>
  <c r="C134" i="1"/>
  <c r="D134" i="1"/>
  <c r="K134" i="1"/>
  <c r="C135" i="1"/>
  <c r="D135" i="1"/>
  <c r="K135" i="1"/>
  <c r="C136" i="1"/>
  <c r="D136" i="1"/>
  <c r="K136" i="1"/>
  <c r="C137" i="1"/>
  <c r="D137" i="1"/>
  <c r="K137" i="1"/>
  <c r="C138" i="1"/>
  <c r="D138" i="1"/>
  <c r="K138" i="1"/>
  <c r="C139" i="1"/>
  <c r="D139" i="1"/>
  <c r="K139" i="1"/>
  <c r="C140" i="1"/>
  <c r="D140" i="1"/>
  <c r="K140" i="1"/>
  <c r="C141" i="1"/>
  <c r="D141" i="1"/>
  <c r="K141" i="1"/>
  <c r="C142" i="1"/>
  <c r="D142" i="1"/>
  <c r="K142" i="1"/>
  <c r="C143" i="1"/>
  <c r="D143" i="1"/>
  <c r="K143" i="1"/>
  <c r="C144" i="1"/>
  <c r="D144" i="1"/>
  <c r="K144" i="1"/>
  <c r="C145" i="1"/>
  <c r="D145" i="1"/>
  <c r="K145" i="1"/>
  <c r="C146" i="1"/>
  <c r="D146" i="1"/>
  <c r="K146" i="1"/>
  <c r="C147" i="1"/>
  <c r="D147" i="1"/>
  <c r="K147" i="1"/>
  <c r="C148" i="1"/>
  <c r="D148" i="1"/>
  <c r="K148" i="1"/>
  <c r="C149" i="1"/>
  <c r="D149" i="1"/>
  <c r="K149" i="1"/>
  <c r="C150" i="1"/>
  <c r="D150" i="1"/>
  <c r="K150" i="1"/>
  <c r="C151" i="1"/>
  <c r="D151" i="1"/>
  <c r="K151" i="1"/>
  <c r="C152" i="1"/>
  <c r="D152" i="1"/>
  <c r="K152" i="1"/>
  <c r="C153" i="1"/>
  <c r="D153" i="1"/>
  <c r="K153" i="1"/>
  <c r="C154" i="1"/>
  <c r="D154" i="1"/>
  <c r="K154" i="1"/>
  <c r="C155" i="1"/>
  <c r="D155" i="1"/>
  <c r="K155" i="1"/>
  <c r="C156" i="1"/>
  <c r="D156" i="1"/>
  <c r="K156" i="1"/>
  <c r="C157" i="1"/>
  <c r="D157" i="1"/>
  <c r="K157" i="1"/>
  <c r="C158" i="1"/>
  <c r="D158" i="1"/>
  <c r="K158" i="1"/>
  <c r="C159" i="1"/>
  <c r="D159" i="1"/>
  <c r="K159" i="1"/>
  <c r="C160" i="1"/>
  <c r="D160" i="1"/>
  <c r="K160" i="1"/>
  <c r="C161" i="1"/>
  <c r="D161" i="1"/>
  <c r="K161" i="1"/>
  <c r="C162" i="1"/>
  <c r="D162" i="1"/>
  <c r="K162" i="1"/>
  <c r="C163" i="1"/>
  <c r="D163" i="1"/>
  <c r="K163" i="1"/>
  <c r="C164" i="1"/>
  <c r="D164" i="1"/>
  <c r="K164" i="1"/>
  <c r="C165" i="1"/>
  <c r="D165" i="1"/>
  <c r="K165" i="1"/>
  <c r="C166" i="1"/>
  <c r="D166" i="1"/>
  <c r="K166" i="1"/>
  <c r="C167" i="1"/>
  <c r="D167" i="1"/>
  <c r="K167" i="1"/>
  <c r="C168" i="1"/>
  <c r="D168" i="1"/>
  <c r="K168" i="1"/>
  <c r="C169" i="1"/>
  <c r="D169" i="1"/>
  <c r="K169" i="1"/>
  <c r="C170" i="1"/>
  <c r="D170" i="1"/>
  <c r="K170" i="1"/>
  <c r="C171" i="1"/>
  <c r="D171" i="1"/>
  <c r="K171" i="1"/>
  <c r="C172" i="1"/>
  <c r="D172" i="1"/>
  <c r="K172" i="1"/>
  <c r="C173" i="1"/>
  <c r="D173" i="1"/>
  <c r="K173" i="1"/>
  <c r="C174" i="1"/>
  <c r="D174" i="1"/>
  <c r="K174" i="1"/>
  <c r="C175" i="1"/>
  <c r="D175" i="1"/>
  <c r="K175" i="1"/>
  <c r="C176" i="1"/>
  <c r="D176" i="1"/>
  <c r="K176" i="1"/>
  <c r="C177" i="1"/>
  <c r="D177" i="1"/>
  <c r="K177" i="1"/>
  <c r="C178" i="1"/>
  <c r="D178" i="1"/>
  <c r="K178" i="1"/>
  <c r="C179" i="1"/>
  <c r="D179" i="1"/>
  <c r="K179" i="1"/>
  <c r="C180" i="1"/>
  <c r="D180" i="1"/>
  <c r="K180" i="1"/>
  <c r="C181" i="1"/>
  <c r="D181" i="1"/>
  <c r="K181" i="1"/>
  <c r="C182" i="1"/>
  <c r="D182" i="1"/>
  <c r="K182" i="1"/>
  <c r="D183" i="1"/>
  <c r="K183" i="1"/>
  <c r="C184" i="1"/>
  <c r="D184" i="1"/>
  <c r="K184" i="1"/>
  <c r="C185" i="1"/>
  <c r="D185" i="1"/>
  <c r="K185" i="1"/>
  <c r="C186" i="1"/>
  <c r="D186" i="1"/>
  <c r="K186" i="1"/>
  <c r="C187" i="1"/>
  <c r="D187" i="1"/>
  <c r="K187" i="1"/>
  <c r="C188" i="1"/>
  <c r="D188" i="1"/>
  <c r="K188" i="1"/>
  <c r="C189" i="1"/>
  <c r="D189" i="1"/>
  <c r="K189" i="1"/>
  <c r="C190" i="1"/>
  <c r="D190" i="1"/>
  <c r="K190" i="1"/>
  <c r="C191" i="1"/>
  <c r="D191" i="1"/>
  <c r="K191" i="1"/>
  <c r="C192" i="1"/>
  <c r="D192" i="1"/>
  <c r="K192" i="1"/>
  <c r="C193" i="1"/>
  <c r="D193" i="1"/>
  <c r="K193" i="1"/>
  <c r="C194" i="1"/>
  <c r="D194" i="1"/>
  <c r="K194" i="1"/>
  <c r="C195" i="1"/>
  <c r="D195" i="1"/>
  <c r="K195" i="1"/>
  <c r="C196" i="1"/>
  <c r="D196" i="1"/>
  <c r="K196" i="1"/>
  <c r="C197" i="1"/>
  <c r="D197" i="1"/>
  <c r="K197" i="1"/>
  <c r="C198" i="1"/>
  <c r="D198" i="1"/>
  <c r="K198" i="1"/>
  <c r="C199" i="1"/>
  <c r="D199" i="1"/>
  <c r="K199" i="1"/>
  <c r="C200" i="1"/>
  <c r="D200" i="1"/>
  <c r="K200" i="1"/>
  <c r="C201" i="1"/>
  <c r="D201" i="1"/>
  <c r="K201" i="1"/>
  <c r="C202" i="1"/>
  <c r="D202" i="1"/>
  <c r="K202" i="1"/>
  <c r="C203" i="1"/>
  <c r="D203" i="1"/>
  <c r="K203" i="1"/>
  <c r="C204" i="1"/>
  <c r="D204" i="1"/>
  <c r="K204" i="1"/>
  <c r="C205" i="1"/>
  <c r="D205" i="1"/>
  <c r="K205" i="1"/>
  <c r="C206" i="1"/>
  <c r="D206" i="1"/>
  <c r="K206" i="1"/>
  <c r="C207" i="1"/>
  <c r="D207" i="1"/>
  <c r="K207" i="1"/>
  <c r="C208" i="1"/>
  <c r="D208" i="1"/>
  <c r="K208" i="1"/>
  <c r="C209" i="1"/>
  <c r="D209" i="1"/>
  <c r="K209" i="1"/>
  <c r="C210" i="1"/>
  <c r="D210" i="1"/>
  <c r="K210" i="1"/>
  <c r="C211" i="1"/>
  <c r="D211" i="1"/>
  <c r="K211" i="1"/>
  <c r="C212" i="1"/>
  <c r="D212" i="1"/>
  <c r="K212" i="1"/>
  <c r="C213" i="1"/>
  <c r="D213" i="1"/>
  <c r="K213" i="1"/>
  <c r="C214" i="1"/>
  <c r="D214" i="1"/>
  <c r="K214" i="1"/>
  <c r="C215" i="1"/>
  <c r="D215" i="1"/>
  <c r="K215" i="1"/>
  <c r="C216" i="1"/>
  <c r="D216" i="1"/>
  <c r="K216" i="1"/>
  <c r="C217" i="1"/>
  <c r="D217" i="1"/>
  <c r="K217" i="1"/>
  <c r="C218" i="1"/>
  <c r="D218" i="1"/>
  <c r="K218" i="1"/>
  <c r="C219" i="1"/>
  <c r="D219" i="1"/>
  <c r="K219" i="1"/>
  <c r="C220" i="1"/>
  <c r="D220" i="1"/>
  <c r="K220" i="1"/>
  <c r="C221" i="1"/>
  <c r="D221" i="1"/>
  <c r="K221" i="1"/>
  <c r="C222" i="1"/>
  <c r="D222" i="1"/>
  <c r="K222" i="1"/>
  <c r="C223" i="1"/>
  <c r="D223" i="1"/>
  <c r="K223" i="1"/>
  <c r="C224" i="1"/>
  <c r="D224" i="1"/>
  <c r="K224" i="1"/>
  <c r="C225" i="1"/>
  <c r="D225" i="1"/>
  <c r="K225" i="1"/>
  <c r="C226" i="1"/>
  <c r="D226" i="1"/>
  <c r="K226" i="1"/>
  <c r="C227" i="1"/>
  <c r="D227" i="1"/>
  <c r="K227" i="1"/>
  <c r="C228" i="1"/>
  <c r="D228" i="1"/>
  <c r="K228" i="1"/>
  <c r="C229" i="1"/>
  <c r="D229" i="1"/>
  <c r="K229" i="1"/>
  <c r="C230" i="1"/>
  <c r="D230" i="1"/>
  <c r="K230" i="1"/>
  <c r="C231" i="1"/>
  <c r="D231" i="1"/>
  <c r="K231" i="1"/>
  <c r="C232" i="1"/>
  <c r="D232" i="1"/>
  <c r="K232" i="1"/>
  <c r="C233" i="1"/>
  <c r="D233" i="1"/>
  <c r="K233" i="1"/>
  <c r="C234" i="1"/>
  <c r="D234" i="1"/>
  <c r="K234" i="1"/>
  <c r="C235" i="1"/>
  <c r="D235" i="1"/>
  <c r="K235" i="1"/>
  <c r="C236" i="1"/>
  <c r="D236" i="1"/>
  <c r="K236" i="1"/>
  <c r="C237" i="1"/>
  <c r="D237" i="1"/>
  <c r="K237" i="1"/>
  <c r="C238" i="1"/>
  <c r="D238" i="1"/>
  <c r="K238" i="1"/>
  <c r="C239" i="1"/>
  <c r="D239" i="1"/>
  <c r="K239" i="1"/>
  <c r="C240" i="1"/>
  <c r="D240" i="1"/>
  <c r="K240" i="1"/>
  <c r="C241" i="1"/>
  <c r="D241" i="1"/>
  <c r="K241" i="1"/>
  <c r="C242" i="1"/>
  <c r="D242" i="1"/>
  <c r="K242" i="1"/>
  <c r="C243" i="1"/>
  <c r="D243" i="1"/>
  <c r="K243" i="1"/>
  <c r="C244" i="1"/>
  <c r="D244" i="1"/>
  <c r="K244" i="1"/>
  <c r="C245" i="1"/>
  <c r="D245" i="1"/>
  <c r="K245" i="1"/>
  <c r="C246" i="1"/>
  <c r="D246" i="1"/>
  <c r="K246" i="1"/>
  <c r="C247" i="1"/>
  <c r="D247" i="1"/>
  <c r="K247" i="1"/>
  <c r="C248" i="1"/>
  <c r="D248" i="1"/>
  <c r="K248" i="1"/>
  <c r="C249" i="1"/>
  <c r="D249" i="1"/>
  <c r="K249" i="1"/>
  <c r="C250" i="1"/>
  <c r="D250" i="1"/>
  <c r="K250" i="1"/>
  <c r="C251" i="1"/>
  <c r="D251" i="1"/>
  <c r="K251" i="1"/>
  <c r="C252" i="1"/>
  <c r="D252" i="1"/>
  <c r="K252" i="1"/>
  <c r="C253" i="1"/>
  <c r="D253" i="1"/>
  <c r="K253" i="1"/>
  <c r="C254" i="1"/>
  <c r="D254" i="1"/>
  <c r="K254" i="1"/>
  <c r="C255" i="1"/>
  <c r="D255" i="1"/>
  <c r="K255" i="1"/>
  <c r="C256" i="1"/>
  <c r="D256" i="1"/>
  <c r="K256" i="1"/>
  <c r="C257" i="1"/>
  <c r="D257" i="1"/>
  <c r="K257" i="1"/>
  <c r="C258" i="1"/>
  <c r="D258" i="1"/>
  <c r="K258" i="1"/>
  <c r="C259" i="1"/>
  <c r="D259" i="1"/>
  <c r="K259" i="1"/>
  <c r="C260" i="1"/>
  <c r="D260" i="1"/>
  <c r="K260" i="1"/>
  <c r="C261" i="1"/>
  <c r="D261" i="1"/>
  <c r="K261" i="1"/>
  <c r="C262" i="1"/>
  <c r="D262" i="1"/>
  <c r="K262" i="1"/>
  <c r="C263" i="1"/>
  <c r="D263" i="1"/>
  <c r="K263" i="1"/>
  <c r="C264" i="1"/>
  <c r="D264" i="1"/>
  <c r="K264" i="1"/>
  <c r="C265" i="1"/>
  <c r="D265" i="1"/>
  <c r="K265" i="1"/>
  <c r="C266" i="1"/>
  <c r="D266" i="1"/>
  <c r="K266" i="1"/>
  <c r="C267" i="1"/>
  <c r="D267" i="1"/>
  <c r="K267" i="1"/>
  <c r="C268" i="1"/>
  <c r="D268" i="1"/>
  <c r="K268" i="1"/>
  <c r="C269" i="1"/>
  <c r="D269" i="1"/>
  <c r="K269" i="1"/>
  <c r="C270" i="1"/>
  <c r="D270" i="1"/>
  <c r="K270" i="1"/>
  <c r="C271" i="1"/>
  <c r="D271" i="1"/>
  <c r="K271" i="1"/>
  <c r="C272" i="1"/>
  <c r="D272" i="1"/>
  <c r="K272" i="1"/>
  <c r="C273" i="1"/>
  <c r="D273" i="1"/>
  <c r="K273" i="1"/>
  <c r="C274" i="1"/>
  <c r="D274" i="1"/>
  <c r="K274" i="1"/>
  <c r="C275" i="1"/>
  <c r="D275" i="1"/>
  <c r="K275" i="1"/>
  <c r="C276" i="1"/>
  <c r="D276" i="1"/>
  <c r="K276" i="1"/>
  <c r="C277" i="1"/>
  <c r="D277" i="1"/>
  <c r="K277" i="1"/>
  <c r="C278" i="1"/>
  <c r="D278" i="1"/>
  <c r="K278" i="1"/>
  <c r="C279" i="1"/>
  <c r="D279" i="1"/>
  <c r="K279" i="1"/>
  <c r="C280" i="1"/>
  <c r="D280" i="1"/>
  <c r="K280" i="1"/>
  <c r="C281" i="1"/>
  <c r="D281" i="1"/>
  <c r="K281" i="1"/>
  <c r="C282" i="1"/>
  <c r="D282" i="1"/>
  <c r="K282" i="1"/>
  <c r="C283" i="1"/>
  <c r="D283" i="1"/>
  <c r="K283" i="1"/>
  <c r="C284" i="1"/>
  <c r="D284" i="1"/>
  <c r="K284" i="1"/>
  <c r="C285" i="1"/>
  <c r="D285" i="1"/>
  <c r="K285" i="1"/>
  <c r="C286" i="1"/>
  <c r="D286" i="1"/>
  <c r="K286" i="1"/>
  <c r="C287" i="1"/>
  <c r="D287" i="1"/>
  <c r="K287" i="1"/>
  <c r="C288" i="1"/>
  <c r="D288" i="1"/>
  <c r="K288" i="1"/>
  <c r="C289" i="1"/>
  <c r="D289" i="1"/>
  <c r="K289" i="1"/>
  <c r="C290" i="1"/>
  <c r="D290" i="1"/>
  <c r="K290" i="1"/>
  <c r="C291" i="1"/>
  <c r="D291" i="1"/>
  <c r="K291" i="1"/>
  <c r="C292" i="1"/>
  <c r="D292" i="1"/>
  <c r="K292" i="1"/>
  <c r="C293" i="1"/>
  <c r="D293" i="1"/>
  <c r="K293" i="1"/>
  <c r="C294" i="1"/>
  <c r="D294" i="1"/>
  <c r="K294" i="1"/>
  <c r="C295" i="1"/>
  <c r="D295" i="1"/>
  <c r="K295" i="1"/>
  <c r="C296" i="1"/>
  <c r="D296" i="1"/>
  <c r="K296" i="1"/>
  <c r="C297" i="1"/>
  <c r="D297" i="1"/>
  <c r="K297" i="1"/>
  <c r="C298" i="1"/>
  <c r="D298" i="1"/>
  <c r="K298" i="1"/>
  <c r="C299" i="1"/>
  <c r="D299" i="1"/>
  <c r="K299" i="1"/>
  <c r="C300" i="1"/>
  <c r="D300" i="1"/>
  <c r="K300" i="1"/>
  <c r="C301" i="1"/>
  <c r="D301" i="1"/>
  <c r="K301" i="1"/>
  <c r="C302" i="1"/>
  <c r="D302" i="1"/>
  <c r="K302" i="1"/>
  <c r="C303" i="1"/>
  <c r="D303" i="1"/>
  <c r="K303" i="1"/>
  <c r="C304" i="1"/>
  <c r="D304" i="1"/>
  <c r="K304" i="1"/>
  <c r="C305" i="1"/>
  <c r="D305" i="1"/>
  <c r="K305" i="1"/>
  <c r="C306" i="1"/>
  <c r="D306" i="1"/>
  <c r="K306" i="1"/>
  <c r="C307" i="1"/>
  <c r="D307" i="1"/>
  <c r="K307" i="1"/>
  <c r="C308" i="1"/>
  <c r="D308" i="1"/>
  <c r="K308" i="1"/>
  <c r="C309" i="1"/>
  <c r="D309" i="1"/>
  <c r="K309" i="1"/>
  <c r="C310" i="1"/>
  <c r="D310" i="1"/>
  <c r="K310" i="1"/>
  <c r="C311" i="1"/>
  <c r="D311" i="1"/>
  <c r="K311" i="1"/>
  <c r="C312" i="1"/>
  <c r="D312" i="1"/>
  <c r="K312" i="1"/>
  <c r="C313" i="1"/>
  <c r="D313" i="1"/>
  <c r="K313" i="1"/>
  <c r="C314" i="1"/>
  <c r="D314" i="1"/>
  <c r="K314" i="1"/>
  <c r="C315" i="1"/>
  <c r="D315" i="1"/>
  <c r="K315" i="1"/>
  <c r="C316" i="1"/>
  <c r="D316" i="1"/>
  <c r="K316" i="1"/>
  <c r="C317" i="1"/>
  <c r="D317" i="1"/>
  <c r="K317" i="1"/>
  <c r="C318" i="1"/>
  <c r="D318" i="1"/>
  <c r="K318" i="1"/>
  <c r="C319" i="1"/>
  <c r="D319" i="1"/>
  <c r="K319" i="1"/>
  <c r="C320" i="1"/>
  <c r="D320" i="1"/>
  <c r="K320" i="1"/>
  <c r="C321" i="1"/>
  <c r="D321" i="1"/>
  <c r="K321" i="1"/>
  <c r="C322" i="1"/>
  <c r="D322" i="1"/>
  <c r="K322" i="1"/>
  <c r="C323" i="1"/>
  <c r="D323" i="1"/>
  <c r="K323" i="1"/>
  <c r="C324" i="1"/>
  <c r="D324" i="1"/>
  <c r="K324" i="1"/>
  <c r="C325" i="1"/>
  <c r="D325" i="1"/>
  <c r="K325" i="1"/>
  <c r="C326" i="1"/>
  <c r="D326" i="1"/>
  <c r="K326" i="1"/>
  <c r="C327" i="1"/>
  <c r="D327" i="1"/>
  <c r="K327" i="1"/>
  <c r="C328" i="1"/>
  <c r="D328" i="1"/>
  <c r="K328" i="1"/>
  <c r="C329" i="1"/>
  <c r="D329" i="1"/>
  <c r="K329" i="1"/>
  <c r="C330" i="1"/>
  <c r="D330" i="1"/>
  <c r="K330" i="1"/>
  <c r="C331" i="1"/>
  <c r="D331" i="1"/>
  <c r="K331" i="1"/>
  <c r="C332" i="1"/>
  <c r="D332" i="1"/>
  <c r="K332" i="1"/>
  <c r="C333" i="1"/>
  <c r="D333" i="1"/>
  <c r="K333" i="1"/>
  <c r="C334" i="1"/>
  <c r="D334" i="1"/>
  <c r="K334" i="1"/>
  <c r="C335" i="1"/>
  <c r="D335" i="1"/>
  <c r="K335" i="1"/>
  <c r="C336" i="1"/>
  <c r="D336" i="1"/>
  <c r="K336" i="1"/>
  <c r="C337" i="1"/>
  <c r="D337" i="1"/>
  <c r="K337" i="1"/>
  <c r="C338" i="1"/>
  <c r="D338" i="1"/>
  <c r="K338" i="1"/>
  <c r="C339" i="1"/>
  <c r="D339" i="1"/>
  <c r="K339" i="1"/>
  <c r="C340" i="1"/>
  <c r="D340" i="1"/>
  <c r="K340" i="1"/>
  <c r="C341" i="1"/>
  <c r="D341" i="1"/>
  <c r="K341" i="1"/>
  <c r="C342" i="1"/>
  <c r="D342" i="1"/>
  <c r="K342" i="1"/>
  <c r="C343" i="1"/>
  <c r="D343" i="1"/>
  <c r="K343" i="1"/>
  <c r="C344" i="1"/>
  <c r="D344" i="1"/>
  <c r="K344" i="1"/>
  <c r="C345" i="1"/>
  <c r="D345" i="1"/>
  <c r="K345" i="1"/>
  <c r="C346" i="1"/>
  <c r="D346" i="1"/>
  <c r="K346" i="1"/>
  <c r="C347" i="1"/>
  <c r="D347" i="1"/>
  <c r="K347" i="1"/>
  <c r="C348" i="1"/>
  <c r="D348" i="1"/>
  <c r="K348" i="1"/>
  <c r="C349" i="1"/>
  <c r="D349" i="1"/>
  <c r="K349" i="1"/>
  <c r="C350" i="1"/>
  <c r="D350" i="1"/>
  <c r="K350" i="1"/>
  <c r="C351" i="1"/>
  <c r="D351" i="1"/>
  <c r="K351" i="1"/>
  <c r="C352" i="1"/>
  <c r="D352" i="1"/>
  <c r="K352" i="1"/>
  <c r="C353" i="1"/>
  <c r="D353" i="1"/>
  <c r="K353" i="1"/>
  <c r="C354" i="1"/>
  <c r="D354" i="1"/>
  <c r="K354" i="1"/>
  <c r="C355" i="1"/>
  <c r="D355" i="1"/>
  <c r="K355" i="1"/>
  <c r="C356" i="1"/>
  <c r="D356" i="1"/>
  <c r="K356" i="1"/>
  <c r="C357" i="1"/>
  <c r="D357" i="1"/>
  <c r="K357" i="1"/>
  <c r="C358" i="1"/>
  <c r="D358" i="1"/>
  <c r="K358" i="1"/>
  <c r="C359" i="1"/>
  <c r="D359" i="1"/>
  <c r="K359" i="1"/>
  <c r="C360" i="1"/>
  <c r="D360" i="1"/>
  <c r="K360" i="1"/>
  <c r="C361" i="1"/>
  <c r="D361" i="1"/>
  <c r="K361" i="1"/>
  <c r="C362" i="1"/>
  <c r="D362" i="1"/>
  <c r="K362" i="1"/>
  <c r="C363" i="1"/>
  <c r="D363" i="1"/>
  <c r="K363" i="1"/>
  <c r="C364" i="1"/>
  <c r="D364" i="1"/>
  <c r="K364" i="1"/>
  <c r="C365" i="1"/>
  <c r="D365" i="1"/>
  <c r="K365" i="1"/>
  <c r="C366" i="1"/>
  <c r="D366" i="1"/>
  <c r="K366" i="1"/>
  <c r="C367" i="1"/>
  <c r="D367" i="1"/>
  <c r="K367" i="1"/>
  <c r="C368" i="1"/>
  <c r="D368" i="1"/>
  <c r="K368" i="1"/>
  <c r="C369" i="1"/>
  <c r="D369" i="1"/>
  <c r="K369" i="1"/>
  <c r="C370" i="1"/>
  <c r="D370" i="1"/>
  <c r="K370" i="1"/>
  <c r="C371" i="1"/>
  <c r="D371" i="1"/>
  <c r="K371" i="1"/>
  <c r="C372" i="1"/>
  <c r="D372" i="1"/>
  <c r="K372" i="1"/>
  <c r="C373" i="1"/>
  <c r="D373" i="1"/>
  <c r="K373" i="1"/>
  <c r="C374" i="1"/>
  <c r="D374" i="1"/>
  <c r="K374" i="1"/>
  <c r="C375" i="1"/>
  <c r="D375" i="1"/>
  <c r="K375" i="1"/>
  <c r="C376" i="1"/>
  <c r="D376" i="1"/>
  <c r="K376" i="1"/>
  <c r="C379" i="1"/>
  <c r="D379" i="1"/>
  <c r="K379" i="1"/>
  <c r="C380" i="1"/>
  <c r="D380" i="1"/>
  <c r="K380" i="1"/>
  <c r="C381" i="1"/>
  <c r="D381" i="1"/>
  <c r="K381" i="1"/>
  <c r="C382" i="1"/>
  <c r="D382" i="1"/>
  <c r="K382" i="1"/>
  <c r="C383" i="1"/>
  <c r="D383" i="1"/>
  <c r="K383" i="1"/>
  <c r="C384" i="1"/>
  <c r="D384" i="1"/>
  <c r="K384" i="1"/>
  <c r="C385" i="1"/>
  <c r="D385" i="1"/>
  <c r="K385" i="1"/>
  <c r="C386" i="1"/>
  <c r="D386" i="1"/>
  <c r="K386" i="1"/>
  <c r="C387" i="1"/>
  <c r="D387" i="1"/>
  <c r="K387" i="1"/>
  <c r="C388" i="1"/>
  <c r="D388" i="1"/>
  <c r="K388" i="1"/>
  <c r="C389" i="1"/>
  <c r="D389" i="1"/>
  <c r="K389" i="1"/>
  <c r="C390" i="1"/>
  <c r="D390" i="1"/>
  <c r="K390" i="1"/>
  <c r="C391" i="1"/>
  <c r="D391" i="1"/>
  <c r="K391" i="1"/>
  <c r="C392" i="1"/>
  <c r="D392" i="1"/>
  <c r="K392" i="1"/>
  <c r="C393" i="1"/>
  <c r="D393" i="1"/>
  <c r="K393" i="1"/>
  <c r="C394" i="1"/>
  <c r="D394" i="1"/>
  <c r="K394" i="1"/>
  <c r="C395" i="1"/>
  <c r="D395" i="1"/>
  <c r="K395" i="1"/>
  <c r="C396" i="1"/>
  <c r="D396" i="1"/>
  <c r="K396" i="1"/>
  <c r="C397" i="1"/>
  <c r="D397" i="1"/>
  <c r="K397" i="1"/>
  <c r="C398" i="1"/>
  <c r="D398" i="1"/>
  <c r="K398" i="1"/>
  <c r="C399" i="1"/>
  <c r="D399" i="1"/>
  <c r="K399" i="1"/>
  <c r="C400" i="1"/>
  <c r="D400" i="1"/>
  <c r="K400" i="1"/>
  <c r="C401" i="1"/>
  <c r="D401" i="1"/>
  <c r="K401" i="1"/>
  <c r="C402" i="1"/>
  <c r="D402" i="1"/>
  <c r="K402" i="1"/>
  <c r="C403" i="1"/>
  <c r="D403" i="1"/>
  <c r="K403" i="1"/>
  <c r="C404" i="1"/>
  <c r="D404" i="1"/>
  <c r="K404" i="1"/>
  <c r="C405" i="1"/>
  <c r="D405" i="1"/>
  <c r="K405" i="1"/>
  <c r="C406" i="1"/>
  <c r="D406" i="1"/>
  <c r="K406" i="1"/>
  <c r="C407" i="1"/>
  <c r="D407" i="1"/>
  <c r="K407" i="1"/>
  <c r="C408" i="1"/>
  <c r="D408" i="1"/>
  <c r="K408" i="1"/>
  <c r="C409" i="1"/>
  <c r="D409" i="1"/>
  <c r="K409" i="1"/>
  <c r="C410" i="1"/>
  <c r="D410" i="1"/>
  <c r="K410" i="1"/>
  <c r="C411" i="1"/>
  <c r="D411" i="1"/>
  <c r="K411" i="1"/>
  <c r="C412" i="1"/>
  <c r="D412" i="1"/>
  <c r="K412" i="1"/>
  <c r="C413" i="1"/>
  <c r="D413" i="1"/>
  <c r="K413" i="1"/>
  <c r="C414" i="1"/>
  <c r="D414" i="1"/>
  <c r="K414" i="1"/>
  <c r="C415" i="1"/>
  <c r="D415" i="1"/>
  <c r="K415" i="1"/>
  <c r="C416" i="1"/>
  <c r="D416" i="1"/>
  <c r="K416" i="1"/>
  <c r="C417" i="1"/>
  <c r="D417" i="1"/>
  <c r="K417" i="1"/>
  <c r="C418" i="1"/>
  <c r="D418" i="1"/>
  <c r="K418" i="1"/>
  <c r="C419" i="1"/>
  <c r="D419" i="1"/>
  <c r="K419" i="1"/>
  <c r="C420" i="1"/>
  <c r="D420" i="1"/>
  <c r="K420" i="1"/>
  <c r="C421" i="1"/>
  <c r="D421" i="1"/>
  <c r="K421" i="1"/>
  <c r="C422" i="1"/>
  <c r="D422" i="1"/>
  <c r="K422" i="1"/>
  <c r="C423" i="1"/>
  <c r="D423" i="1"/>
  <c r="K423" i="1"/>
  <c r="C424" i="1"/>
  <c r="D424" i="1"/>
  <c r="K424" i="1"/>
  <c r="C425" i="1"/>
  <c r="D425" i="1"/>
  <c r="K425" i="1"/>
  <c r="C426" i="1"/>
  <c r="D426" i="1"/>
  <c r="K426" i="1"/>
  <c r="C427" i="1"/>
  <c r="D427" i="1"/>
  <c r="K427" i="1"/>
  <c r="C428" i="1"/>
  <c r="D428" i="1"/>
  <c r="K428" i="1"/>
  <c r="C429" i="1"/>
  <c r="D429" i="1"/>
  <c r="K429" i="1"/>
  <c r="C430" i="1"/>
  <c r="D430" i="1"/>
  <c r="K430" i="1"/>
  <c r="C431" i="1"/>
  <c r="D431" i="1"/>
  <c r="K431" i="1"/>
  <c r="C432" i="1"/>
  <c r="D432" i="1"/>
  <c r="K432" i="1"/>
  <c r="C433" i="1"/>
  <c r="D433" i="1"/>
  <c r="K433" i="1"/>
  <c r="C434" i="1"/>
  <c r="D434" i="1"/>
  <c r="K434" i="1"/>
  <c r="C435" i="1"/>
  <c r="D435" i="1"/>
  <c r="K435" i="1"/>
  <c r="C436" i="1"/>
  <c r="D436" i="1"/>
  <c r="K436" i="1"/>
  <c r="C437" i="1"/>
  <c r="D437" i="1"/>
  <c r="K437" i="1"/>
  <c r="C438" i="1"/>
  <c r="D438" i="1"/>
  <c r="K438" i="1"/>
  <c r="C439" i="1"/>
  <c r="D439" i="1"/>
  <c r="K439" i="1"/>
  <c r="C440" i="1"/>
  <c r="D440" i="1"/>
  <c r="K440" i="1"/>
  <c r="C441" i="1"/>
  <c r="D441" i="1"/>
  <c r="K441" i="1"/>
  <c r="C442" i="1"/>
  <c r="D442" i="1"/>
  <c r="K442" i="1"/>
  <c r="C443" i="1"/>
  <c r="D443" i="1"/>
  <c r="K443" i="1"/>
  <c r="C444" i="1"/>
  <c r="D444" i="1"/>
  <c r="K444" i="1"/>
  <c r="C445" i="1"/>
  <c r="D445" i="1"/>
  <c r="K445" i="1"/>
  <c r="C446" i="1"/>
  <c r="D446" i="1"/>
  <c r="K446" i="1"/>
  <c r="C447" i="1"/>
  <c r="D447" i="1"/>
  <c r="K447" i="1"/>
  <c r="C448" i="1"/>
  <c r="D448" i="1"/>
  <c r="K448" i="1"/>
  <c r="C449" i="1"/>
  <c r="D449" i="1"/>
  <c r="K449" i="1"/>
  <c r="C450" i="1"/>
  <c r="D450" i="1"/>
  <c r="K450" i="1"/>
  <c r="C451" i="1"/>
  <c r="D451" i="1"/>
  <c r="K451" i="1"/>
  <c r="C452" i="1"/>
  <c r="D452" i="1"/>
  <c r="K452" i="1"/>
  <c r="C453" i="1"/>
  <c r="D453" i="1"/>
  <c r="K453" i="1"/>
  <c r="C454" i="1"/>
  <c r="D454" i="1"/>
  <c r="K454" i="1"/>
  <c r="C455" i="1"/>
  <c r="D455" i="1"/>
  <c r="K455" i="1"/>
  <c r="C456" i="1"/>
  <c r="D456" i="1"/>
  <c r="K456" i="1"/>
  <c r="C457" i="1"/>
  <c r="D457" i="1"/>
  <c r="K457" i="1"/>
  <c r="C458" i="1"/>
  <c r="D458" i="1"/>
  <c r="K458" i="1"/>
  <c r="C459" i="1"/>
  <c r="D459" i="1"/>
  <c r="K459" i="1"/>
  <c r="C460" i="1"/>
  <c r="D460" i="1"/>
  <c r="K460" i="1"/>
  <c r="C461" i="1"/>
  <c r="D461" i="1"/>
  <c r="K461" i="1"/>
  <c r="C462" i="1"/>
  <c r="D462" i="1"/>
  <c r="K462" i="1"/>
  <c r="C463" i="1"/>
  <c r="D463" i="1"/>
  <c r="K463" i="1"/>
  <c r="C464" i="1"/>
  <c r="D464" i="1"/>
  <c r="K464" i="1"/>
  <c r="C465" i="1"/>
  <c r="D465" i="1"/>
  <c r="K465" i="1"/>
  <c r="C466" i="1"/>
  <c r="D466" i="1"/>
  <c r="K466" i="1"/>
  <c r="C467" i="1"/>
  <c r="D467" i="1"/>
  <c r="K467" i="1"/>
  <c r="C468" i="1"/>
  <c r="D468" i="1"/>
  <c r="K468" i="1"/>
  <c r="C469" i="1"/>
  <c r="D469" i="1"/>
  <c r="K469" i="1"/>
  <c r="C470" i="1"/>
  <c r="D470" i="1"/>
  <c r="K470" i="1"/>
  <c r="C471" i="1"/>
  <c r="D471" i="1"/>
  <c r="K471" i="1"/>
  <c r="C472" i="1"/>
  <c r="D472" i="1"/>
  <c r="K472" i="1"/>
  <c r="C473" i="1"/>
  <c r="D473" i="1"/>
  <c r="K473" i="1"/>
  <c r="C474" i="1"/>
  <c r="D474" i="1"/>
  <c r="K474" i="1"/>
  <c r="C475" i="1"/>
  <c r="D475" i="1"/>
  <c r="K475" i="1"/>
  <c r="C476" i="1"/>
  <c r="D476" i="1"/>
  <c r="K476" i="1"/>
  <c r="C477" i="1"/>
  <c r="D477" i="1"/>
  <c r="K477" i="1"/>
  <c r="C478" i="1"/>
  <c r="D478" i="1"/>
  <c r="K478" i="1"/>
  <c r="C479" i="1"/>
  <c r="D479" i="1"/>
  <c r="K479" i="1"/>
  <c r="C480" i="1"/>
  <c r="D480" i="1"/>
  <c r="K480" i="1"/>
  <c r="C481" i="1"/>
  <c r="D481" i="1"/>
  <c r="K481" i="1"/>
  <c r="C482" i="1"/>
  <c r="D482" i="1"/>
  <c r="K482" i="1"/>
  <c r="C483" i="1"/>
  <c r="D483" i="1"/>
  <c r="K483" i="1"/>
  <c r="C484" i="1"/>
  <c r="D484" i="1"/>
  <c r="K484" i="1"/>
  <c r="C485" i="1"/>
  <c r="D485" i="1"/>
  <c r="K485" i="1"/>
  <c r="C486" i="1"/>
  <c r="D486" i="1"/>
  <c r="K486" i="1"/>
  <c r="C487" i="1"/>
  <c r="D487" i="1"/>
  <c r="K487" i="1"/>
  <c r="C488" i="1"/>
  <c r="D488" i="1"/>
  <c r="K488" i="1"/>
  <c r="C489" i="1"/>
  <c r="D489" i="1"/>
  <c r="K489" i="1"/>
  <c r="C490" i="1"/>
  <c r="D490" i="1"/>
  <c r="K490" i="1"/>
  <c r="C491" i="1"/>
  <c r="D491" i="1"/>
  <c r="K491" i="1"/>
  <c r="C492" i="1"/>
  <c r="D492" i="1"/>
  <c r="K492" i="1"/>
  <c r="C493" i="1"/>
  <c r="D493" i="1"/>
  <c r="K493" i="1"/>
  <c r="C494" i="1"/>
  <c r="D494" i="1"/>
  <c r="K494" i="1"/>
  <c r="C495" i="1"/>
  <c r="D495" i="1"/>
  <c r="K495" i="1"/>
  <c r="C496" i="1"/>
  <c r="D496" i="1"/>
  <c r="K496" i="1"/>
  <c r="C497" i="1"/>
  <c r="D497" i="1"/>
  <c r="K497" i="1"/>
  <c r="C498" i="1"/>
  <c r="D498" i="1"/>
  <c r="K498" i="1"/>
  <c r="C499" i="1"/>
  <c r="D499" i="1"/>
  <c r="K499" i="1"/>
  <c r="C500" i="1"/>
  <c r="D500" i="1"/>
  <c r="K500" i="1"/>
  <c r="C501" i="1"/>
  <c r="D501" i="1"/>
  <c r="K501" i="1"/>
  <c r="C502" i="1"/>
  <c r="D502" i="1"/>
  <c r="K502" i="1"/>
  <c r="C503" i="1"/>
  <c r="D503" i="1"/>
  <c r="K503" i="1"/>
  <c r="C504" i="1"/>
  <c r="D504" i="1"/>
  <c r="K504" i="1"/>
  <c r="C505" i="1"/>
  <c r="D505" i="1"/>
  <c r="K505" i="1"/>
  <c r="C506" i="1"/>
  <c r="D506" i="1"/>
  <c r="K506" i="1"/>
  <c r="C507" i="1"/>
  <c r="D507" i="1"/>
  <c r="K507" i="1"/>
  <c r="C508" i="1"/>
  <c r="D508" i="1"/>
  <c r="K508" i="1"/>
  <c r="C509" i="1"/>
  <c r="D509" i="1"/>
  <c r="K509" i="1"/>
  <c r="C510" i="1"/>
  <c r="D510" i="1"/>
  <c r="K510" i="1"/>
  <c r="C511" i="1"/>
  <c r="D511" i="1"/>
  <c r="K511" i="1"/>
  <c r="C512" i="1"/>
  <c r="D512" i="1"/>
  <c r="K512" i="1"/>
  <c r="C513" i="1"/>
  <c r="D513" i="1"/>
  <c r="K513" i="1"/>
  <c r="C514" i="1"/>
  <c r="D514" i="1"/>
  <c r="K514" i="1"/>
  <c r="C515" i="1"/>
  <c r="D515" i="1"/>
  <c r="K515" i="1"/>
  <c r="C516" i="1"/>
  <c r="D516" i="1"/>
  <c r="K516" i="1"/>
  <c r="C517" i="1"/>
  <c r="D517" i="1"/>
  <c r="K517" i="1"/>
  <c r="C518" i="1"/>
  <c r="D518" i="1"/>
  <c r="K518" i="1"/>
  <c r="C519" i="1"/>
  <c r="D519" i="1"/>
  <c r="K519" i="1"/>
  <c r="C520" i="1"/>
  <c r="D520" i="1"/>
  <c r="K520" i="1"/>
  <c r="C521" i="1"/>
  <c r="D521" i="1"/>
  <c r="K521" i="1"/>
  <c r="C522" i="1"/>
  <c r="D522" i="1"/>
  <c r="K522" i="1"/>
  <c r="C523" i="1"/>
  <c r="D523" i="1"/>
  <c r="K523" i="1"/>
  <c r="C524" i="1"/>
  <c r="D524" i="1"/>
  <c r="K524" i="1"/>
  <c r="C525" i="1"/>
  <c r="D525" i="1"/>
  <c r="K525" i="1"/>
  <c r="C526" i="1"/>
  <c r="D526" i="1"/>
  <c r="K526" i="1"/>
  <c r="C527" i="1"/>
  <c r="D527" i="1"/>
  <c r="K527" i="1"/>
  <c r="C528" i="1"/>
  <c r="D528" i="1"/>
  <c r="K528" i="1"/>
  <c r="C529" i="1"/>
  <c r="D529" i="1"/>
  <c r="K529" i="1"/>
  <c r="C530" i="1"/>
  <c r="D530" i="1"/>
  <c r="K530" i="1"/>
  <c r="C531" i="1"/>
  <c r="D531" i="1"/>
  <c r="K531" i="1"/>
  <c r="C532" i="1"/>
  <c r="D532" i="1"/>
  <c r="K532" i="1"/>
  <c r="C533" i="1"/>
  <c r="D533" i="1"/>
  <c r="K533" i="1"/>
  <c r="C534" i="1"/>
  <c r="D534" i="1"/>
  <c r="K534" i="1"/>
  <c r="C535" i="1"/>
  <c r="D535" i="1"/>
  <c r="K535" i="1"/>
  <c r="C536" i="1"/>
  <c r="D536" i="1"/>
  <c r="K536" i="1"/>
  <c r="C537" i="1"/>
  <c r="D537" i="1"/>
  <c r="K537" i="1"/>
  <c r="C538" i="1"/>
  <c r="D538" i="1"/>
  <c r="K538" i="1"/>
  <c r="C539" i="1"/>
  <c r="D539" i="1"/>
  <c r="K539" i="1"/>
  <c r="C540" i="1"/>
  <c r="D540" i="1"/>
  <c r="K540" i="1"/>
  <c r="C541" i="1"/>
  <c r="D541" i="1"/>
  <c r="K541" i="1"/>
  <c r="C542" i="1"/>
  <c r="D542" i="1"/>
  <c r="K542" i="1"/>
  <c r="C543" i="1"/>
  <c r="D543" i="1"/>
  <c r="K543" i="1"/>
  <c r="C544" i="1"/>
  <c r="D544" i="1"/>
  <c r="K544" i="1"/>
  <c r="C545" i="1"/>
  <c r="D545" i="1"/>
  <c r="K545" i="1"/>
  <c r="C546" i="1"/>
  <c r="D546" i="1"/>
  <c r="K546" i="1"/>
  <c r="C547" i="1"/>
  <c r="D547" i="1"/>
  <c r="K547" i="1"/>
  <c r="C548" i="1"/>
  <c r="D548" i="1"/>
  <c r="K548" i="1"/>
  <c r="C549" i="1"/>
  <c r="D549" i="1"/>
  <c r="K549" i="1"/>
  <c r="C550" i="1"/>
  <c r="D550" i="1"/>
  <c r="K550" i="1"/>
  <c r="C551" i="1"/>
  <c r="D551" i="1"/>
  <c r="K551" i="1"/>
  <c r="C552" i="1"/>
  <c r="D552" i="1"/>
  <c r="K552" i="1"/>
  <c r="C553" i="1"/>
  <c r="D553" i="1"/>
  <c r="K553" i="1"/>
  <c r="C554" i="1"/>
  <c r="D554" i="1"/>
  <c r="K554" i="1"/>
  <c r="C555" i="1"/>
  <c r="D555" i="1"/>
  <c r="K555" i="1"/>
  <c r="C556" i="1"/>
  <c r="D556" i="1"/>
  <c r="K556" i="1"/>
  <c r="C557" i="1"/>
  <c r="D557" i="1"/>
  <c r="K557" i="1"/>
  <c r="C558" i="1"/>
  <c r="D558" i="1"/>
  <c r="K558" i="1"/>
  <c r="C559" i="1"/>
  <c r="D559" i="1"/>
  <c r="K559" i="1"/>
  <c r="C560" i="1"/>
  <c r="D560" i="1"/>
  <c r="K560" i="1"/>
  <c r="C561" i="1"/>
  <c r="D561" i="1"/>
  <c r="K561" i="1"/>
  <c r="C562" i="1"/>
  <c r="D562" i="1"/>
  <c r="K562" i="1"/>
  <c r="C563" i="1"/>
  <c r="D563" i="1"/>
  <c r="K563" i="1"/>
  <c r="C564" i="1"/>
  <c r="D564" i="1"/>
  <c r="K564" i="1"/>
  <c r="C565" i="1"/>
  <c r="D565" i="1"/>
  <c r="K565" i="1"/>
  <c r="C566" i="1"/>
  <c r="D566" i="1"/>
  <c r="K566" i="1"/>
  <c r="C567" i="1"/>
  <c r="D567" i="1"/>
  <c r="K567" i="1"/>
  <c r="C568" i="1"/>
  <c r="D568" i="1"/>
  <c r="K568" i="1"/>
  <c r="C569" i="1"/>
  <c r="D569" i="1"/>
  <c r="K569" i="1"/>
  <c r="C570" i="1"/>
  <c r="D570" i="1"/>
  <c r="K570" i="1"/>
  <c r="C571" i="1"/>
  <c r="D571" i="1"/>
  <c r="K571" i="1"/>
  <c r="C573" i="1"/>
  <c r="D573" i="1"/>
  <c r="K573" i="1"/>
  <c r="C574" i="1"/>
  <c r="D574" i="1"/>
  <c r="K574" i="1"/>
  <c r="C575" i="1"/>
  <c r="D575" i="1"/>
  <c r="K575" i="1"/>
  <c r="C576" i="1"/>
  <c r="D576" i="1"/>
  <c r="K576" i="1"/>
  <c r="C577" i="1"/>
  <c r="D577" i="1"/>
  <c r="K577" i="1"/>
  <c r="C578" i="1"/>
  <c r="D578" i="1"/>
  <c r="K578" i="1"/>
  <c r="C579" i="1"/>
  <c r="D579" i="1"/>
  <c r="K579" i="1"/>
  <c r="C580" i="1"/>
  <c r="D580" i="1"/>
  <c r="K580" i="1"/>
  <c r="C581" i="1"/>
  <c r="D581" i="1"/>
  <c r="K581" i="1"/>
  <c r="C582" i="1"/>
  <c r="D582" i="1"/>
  <c r="K582" i="1"/>
  <c r="C583" i="1"/>
  <c r="D583" i="1"/>
  <c r="K583" i="1"/>
  <c r="C584" i="1"/>
  <c r="D584" i="1"/>
  <c r="K584" i="1"/>
  <c r="C585" i="1"/>
  <c r="D585" i="1"/>
  <c r="K585" i="1"/>
  <c r="C586" i="1"/>
  <c r="D586" i="1"/>
  <c r="K586" i="1"/>
  <c r="C587" i="1"/>
  <c r="D587" i="1"/>
  <c r="K587" i="1"/>
  <c r="C588" i="1"/>
  <c r="D588" i="1"/>
  <c r="K588" i="1"/>
  <c r="C589" i="1"/>
  <c r="D589" i="1"/>
  <c r="K589" i="1"/>
  <c r="C590" i="1"/>
  <c r="D590" i="1"/>
  <c r="K590" i="1"/>
  <c r="C591" i="1"/>
  <c r="D591" i="1"/>
  <c r="K591" i="1"/>
  <c r="C592" i="1"/>
  <c r="D592" i="1"/>
  <c r="K592" i="1"/>
  <c r="C593" i="1"/>
  <c r="D593" i="1"/>
  <c r="K593" i="1"/>
  <c r="C594" i="1"/>
  <c r="D594" i="1"/>
  <c r="K594" i="1"/>
  <c r="C595" i="1"/>
  <c r="D595" i="1"/>
  <c r="K595" i="1"/>
  <c r="C596" i="1"/>
  <c r="D596" i="1"/>
  <c r="K596" i="1"/>
  <c r="C597" i="1"/>
  <c r="D597" i="1"/>
  <c r="K597" i="1"/>
  <c r="C598" i="1"/>
  <c r="D598" i="1"/>
  <c r="K598" i="1"/>
  <c r="C599" i="1"/>
  <c r="D599" i="1"/>
  <c r="K599" i="1"/>
  <c r="C600" i="1"/>
  <c r="D600" i="1"/>
  <c r="K600" i="1"/>
  <c r="C601" i="1"/>
  <c r="D601" i="1"/>
  <c r="K601" i="1"/>
  <c r="C602" i="1"/>
  <c r="D602" i="1"/>
  <c r="K602" i="1"/>
  <c r="C603" i="1"/>
  <c r="D603" i="1"/>
  <c r="K603" i="1"/>
  <c r="C604" i="1"/>
  <c r="D604" i="1"/>
  <c r="K604" i="1"/>
  <c r="C605" i="1"/>
  <c r="D605" i="1"/>
  <c r="K605" i="1"/>
  <c r="C606" i="1"/>
  <c r="D606" i="1"/>
  <c r="K606" i="1"/>
  <c r="C607" i="1"/>
  <c r="D607" i="1"/>
  <c r="K607" i="1"/>
  <c r="C608" i="1"/>
  <c r="D608" i="1"/>
  <c r="K608" i="1"/>
  <c r="C609" i="1"/>
  <c r="D609" i="1"/>
  <c r="K609" i="1"/>
  <c r="C610" i="1"/>
  <c r="D610" i="1"/>
  <c r="K610" i="1"/>
  <c r="C611" i="1"/>
  <c r="D611" i="1"/>
  <c r="K611" i="1"/>
  <c r="C612" i="1"/>
  <c r="D612" i="1"/>
  <c r="K612" i="1"/>
  <c r="C613" i="1"/>
  <c r="D613" i="1"/>
  <c r="K613" i="1"/>
  <c r="C614" i="1"/>
  <c r="D614" i="1"/>
  <c r="K614" i="1"/>
  <c r="C615" i="1"/>
  <c r="D615" i="1"/>
  <c r="K615" i="1"/>
  <c r="C616" i="1"/>
  <c r="D616" i="1"/>
  <c r="K616" i="1"/>
  <c r="C617" i="1"/>
  <c r="D617" i="1"/>
  <c r="K617" i="1"/>
  <c r="D618" i="1"/>
  <c r="K618" i="1"/>
  <c r="C619" i="1"/>
  <c r="D619" i="1"/>
  <c r="K619" i="1"/>
  <c r="C620" i="1"/>
  <c r="D620" i="1"/>
  <c r="K620" i="1"/>
  <c r="C621" i="1"/>
  <c r="D621" i="1"/>
  <c r="K621" i="1"/>
  <c r="C622" i="1"/>
  <c r="D622" i="1"/>
  <c r="K622" i="1"/>
  <c r="C623" i="1"/>
  <c r="D623" i="1"/>
  <c r="K623" i="1"/>
  <c r="D624" i="1"/>
  <c r="K624" i="1"/>
  <c r="C625" i="1"/>
  <c r="D625" i="1"/>
  <c r="K625" i="1"/>
  <c r="C626" i="1"/>
  <c r="D626" i="1"/>
  <c r="K626" i="1"/>
  <c r="C627" i="1"/>
  <c r="D627" i="1"/>
  <c r="K627" i="1"/>
  <c r="C628" i="1"/>
  <c r="D628" i="1"/>
  <c r="K628" i="1"/>
  <c r="D629" i="1"/>
  <c r="K629" i="1"/>
  <c r="C630" i="1"/>
  <c r="D630" i="1"/>
  <c r="K630" i="1"/>
  <c r="C631" i="1"/>
  <c r="D631" i="1"/>
  <c r="K631" i="1"/>
  <c r="C632" i="1"/>
  <c r="D632" i="1"/>
  <c r="K632" i="1"/>
  <c r="C633" i="1"/>
  <c r="D633" i="1"/>
  <c r="K633" i="1"/>
  <c r="C634" i="1"/>
  <c r="D634" i="1"/>
  <c r="K634" i="1"/>
  <c r="C635" i="1"/>
  <c r="D635" i="1"/>
  <c r="K635" i="1"/>
  <c r="C636" i="1"/>
  <c r="D636" i="1"/>
  <c r="K636" i="1"/>
  <c r="C637" i="1"/>
  <c r="D637" i="1"/>
  <c r="K637" i="1"/>
  <c r="C638" i="1"/>
  <c r="D638" i="1"/>
  <c r="K638" i="1"/>
  <c r="C639" i="1"/>
  <c r="D639" i="1"/>
  <c r="K639" i="1"/>
  <c r="C640" i="1"/>
  <c r="D640" i="1"/>
  <c r="K640" i="1"/>
  <c r="C641" i="1"/>
  <c r="D641" i="1"/>
  <c r="K641" i="1"/>
  <c r="C642" i="1"/>
  <c r="D642" i="1"/>
  <c r="K642" i="1"/>
  <c r="C643" i="1"/>
  <c r="D643" i="1"/>
  <c r="K643" i="1"/>
  <c r="C644" i="1"/>
  <c r="D644" i="1"/>
  <c r="K644" i="1"/>
  <c r="C645" i="1"/>
  <c r="D645" i="1"/>
  <c r="K645" i="1"/>
  <c r="C646" i="1"/>
  <c r="D646" i="1"/>
  <c r="K646" i="1"/>
  <c r="C647" i="1"/>
  <c r="D647" i="1"/>
  <c r="K647" i="1"/>
  <c r="C648" i="1"/>
  <c r="D648" i="1"/>
  <c r="K648" i="1"/>
  <c r="C649" i="1"/>
  <c r="D649" i="1"/>
  <c r="K649" i="1"/>
  <c r="C650" i="1"/>
  <c r="D650" i="1"/>
  <c r="K650" i="1"/>
  <c r="C651" i="1"/>
  <c r="D651" i="1"/>
  <c r="K651" i="1"/>
  <c r="C652" i="1"/>
  <c r="D652" i="1"/>
  <c r="K652" i="1"/>
  <c r="C653" i="1"/>
  <c r="D653" i="1"/>
  <c r="K653" i="1"/>
  <c r="C654" i="1"/>
  <c r="D654" i="1"/>
  <c r="K654" i="1"/>
  <c r="C655" i="1"/>
  <c r="D655" i="1"/>
  <c r="K655" i="1"/>
  <c r="C656" i="1"/>
  <c r="D656" i="1"/>
  <c r="K656" i="1"/>
  <c r="C657" i="1"/>
  <c r="D657" i="1"/>
  <c r="K657" i="1"/>
  <c r="C658" i="1"/>
  <c r="D658" i="1"/>
  <c r="K658" i="1"/>
  <c r="C659" i="1"/>
  <c r="D659" i="1"/>
  <c r="K659" i="1"/>
  <c r="C660" i="1"/>
  <c r="D660" i="1"/>
  <c r="K660" i="1"/>
  <c r="C661" i="1"/>
  <c r="D661" i="1"/>
  <c r="K661" i="1"/>
  <c r="C662" i="1"/>
  <c r="D662" i="1"/>
  <c r="K662" i="1"/>
  <c r="C663" i="1"/>
  <c r="D663" i="1"/>
  <c r="K663" i="1"/>
  <c r="C664" i="1"/>
  <c r="D664" i="1"/>
  <c r="K664" i="1"/>
  <c r="C665" i="1"/>
  <c r="D665" i="1"/>
  <c r="K665" i="1"/>
  <c r="C666" i="1"/>
  <c r="D666" i="1"/>
  <c r="K666" i="1"/>
  <c r="C667" i="1"/>
  <c r="D667" i="1"/>
  <c r="K667" i="1"/>
  <c r="C668" i="1"/>
  <c r="D668" i="1"/>
  <c r="K668" i="1"/>
  <c r="C669" i="1"/>
  <c r="D669" i="1"/>
  <c r="K669" i="1"/>
  <c r="C670" i="1"/>
  <c r="D670" i="1"/>
  <c r="K670" i="1"/>
  <c r="C671" i="1"/>
  <c r="D671" i="1"/>
  <c r="K671" i="1"/>
  <c r="C672" i="1"/>
  <c r="D672" i="1"/>
  <c r="K672" i="1"/>
  <c r="C673" i="1"/>
  <c r="D673" i="1"/>
  <c r="K673" i="1"/>
  <c r="C674" i="1"/>
  <c r="D674" i="1"/>
  <c r="K674" i="1"/>
  <c r="C675" i="1"/>
  <c r="D675" i="1"/>
  <c r="K675" i="1"/>
  <c r="C676" i="1"/>
  <c r="D676" i="1"/>
  <c r="K676" i="1"/>
  <c r="C677" i="1"/>
  <c r="D677" i="1"/>
  <c r="K677" i="1"/>
  <c r="C678" i="1"/>
  <c r="D678" i="1"/>
  <c r="K678" i="1"/>
  <c r="C679" i="1"/>
  <c r="D679" i="1"/>
  <c r="K679" i="1"/>
  <c r="C680" i="1"/>
  <c r="D680" i="1"/>
  <c r="K680" i="1"/>
  <c r="C681" i="1"/>
  <c r="D681" i="1"/>
  <c r="K681" i="1"/>
  <c r="C682" i="1"/>
  <c r="D682" i="1"/>
  <c r="K682" i="1"/>
  <c r="C683" i="1"/>
  <c r="D683" i="1"/>
  <c r="K683" i="1"/>
  <c r="C684" i="1"/>
  <c r="D684" i="1"/>
  <c r="K684" i="1"/>
  <c r="C685" i="1"/>
  <c r="D685" i="1"/>
  <c r="K685" i="1"/>
  <c r="C686" i="1"/>
  <c r="D686" i="1"/>
  <c r="K686" i="1"/>
  <c r="C687" i="1"/>
  <c r="D687" i="1"/>
  <c r="K687" i="1"/>
  <c r="C688" i="1"/>
  <c r="D688" i="1"/>
  <c r="K688" i="1"/>
  <c r="C689" i="1"/>
  <c r="D689" i="1"/>
  <c r="K689" i="1"/>
  <c r="C690" i="1"/>
  <c r="D690" i="1"/>
  <c r="K690" i="1"/>
  <c r="C691" i="1"/>
  <c r="D691" i="1"/>
  <c r="K691" i="1"/>
  <c r="C692" i="1"/>
  <c r="D692" i="1"/>
  <c r="K692" i="1"/>
  <c r="C693" i="1"/>
  <c r="D693" i="1"/>
  <c r="K693" i="1"/>
  <c r="C694" i="1"/>
  <c r="D694" i="1"/>
  <c r="K694" i="1"/>
  <c r="C695" i="1"/>
  <c r="D695" i="1"/>
  <c r="K695" i="1"/>
  <c r="C696" i="1"/>
  <c r="D696" i="1"/>
  <c r="K696" i="1"/>
  <c r="C697" i="1"/>
  <c r="D697" i="1"/>
  <c r="K697" i="1"/>
  <c r="C698" i="1"/>
  <c r="D698" i="1"/>
  <c r="K698" i="1"/>
  <c r="C699" i="1"/>
  <c r="D699" i="1"/>
  <c r="K699" i="1"/>
  <c r="C700" i="1"/>
  <c r="D700" i="1"/>
  <c r="K700" i="1"/>
  <c r="C701" i="1"/>
  <c r="D701" i="1"/>
  <c r="K701" i="1"/>
  <c r="C702" i="1"/>
  <c r="D702" i="1"/>
  <c r="K702" i="1"/>
  <c r="C703" i="1"/>
  <c r="D703" i="1"/>
  <c r="K703" i="1"/>
  <c r="C704" i="1"/>
  <c r="D704" i="1"/>
  <c r="K704" i="1"/>
  <c r="C705" i="1"/>
  <c r="D705" i="1"/>
  <c r="K705" i="1"/>
  <c r="C706" i="1"/>
  <c r="D706" i="1"/>
  <c r="K706" i="1"/>
  <c r="C707" i="1"/>
  <c r="D707" i="1"/>
  <c r="K707" i="1"/>
  <c r="C708" i="1"/>
  <c r="D708" i="1"/>
  <c r="K708" i="1"/>
  <c r="C709" i="1"/>
  <c r="D709" i="1"/>
  <c r="K709" i="1"/>
  <c r="C710" i="1"/>
  <c r="D710" i="1"/>
  <c r="K710" i="1"/>
  <c r="C711" i="1"/>
  <c r="D711" i="1"/>
  <c r="K711" i="1"/>
  <c r="C712" i="1"/>
  <c r="D712" i="1"/>
  <c r="K712" i="1"/>
  <c r="C713" i="1"/>
  <c r="D713" i="1"/>
  <c r="K713" i="1"/>
  <c r="C714" i="1"/>
  <c r="D714" i="1"/>
  <c r="K714" i="1"/>
  <c r="C715" i="1"/>
  <c r="D715" i="1"/>
  <c r="K715" i="1"/>
  <c r="C716" i="1"/>
  <c r="D716" i="1"/>
  <c r="K716" i="1"/>
  <c r="C717" i="1"/>
  <c r="D717" i="1"/>
  <c r="K717" i="1"/>
  <c r="C718" i="1"/>
  <c r="D718" i="1"/>
  <c r="K718" i="1"/>
  <c r="C719" i="1"/>
  <c r="D719" i="1"/>
  <c r="K719" i="1"/>
  <c r="C720" i="1"/>
  <c r="D720" i="1"/>
  <c r="K720" i="1"/>
  <c r="C721" i="1"/>
  <c r="D721" i="1"/>
  <c r="K721" i="1"/>
  <c r="C722" i="1"/>
  <c r="D722" i="1"/>
  <c r="K722" i="1"/>
  <c r="C723" i="1"/>
  <c r="D723" i="1"/>
  <c r="K723" i="1"/>
  <c r="C724" i="1"/>
  <c r="D724" i="1"/>
  <c r="K724" i="1"/>
  <c r="C725" i="1"/>
  <c r="D725" i="1"/>
  <c r="K725" i="1"/>
  <c r="C726" i="1"/>
  <c r="D726" i="1"/>
  <c r="K726" i="1"/>
  <c r="C727" i="1"/>
  <c r="D727" i="1"/>
  <c r="K727" i="1"/>
  <c r="C728" i="1"/>
  <c r="D728" i="1"/>
  <c r="K728" i="1"/>
  <c r="C729" i="1"/>
  <c r="D729" i="1"/>
  <c r="K729" i="1"/>
  <c r="C730" i="1"/>
  <c r="D730" i="1"/>
  <c r="K730" i="1"/>
  <c r="C731" i="1"/>
  <c r="D731" i="1"/>
  <c r="K731" i="1"/>
  <c r="C732" i="1"/>
  <c r="D732" i="1"/>
  <c r="K732" i="1"/>
  <c r="C733" i="1"/>
  <c r="D733" i="1"/>
  <c r="K733" i="1"/>
  <c r="C734" i="1"/>
  <c r="D734" i="1"/>
  <c r="K734" i="1"/>
  <c r="C735" i="1"/>
  <c r="D735" i="1"/>
  <c r="K735" i="1"/>
  <c r="C736" i="1"/>
  <c r="D736" i="1"/>
  <c r="K736" i="1"/>
  <c r="C737" i="1"/>
  <c r="D737" i="1"/>
  <c r="K737" i="1"/>
  <c r="C738" i="1"/>
  <c r="D738" i="1"/>
  <c r="K738" i="1"/>
  <c r="C739" i="1"/>
  <c r="D739" i="1"/>
  <c r="K739" i="1"/>
  <c r="C740" i="1"/>
  <c r="D740" i="1"/>
  <c r="K740" i="1"/>
  <c r="C741" i="1"/>
  <c r="D741" i="1"/>
  <c r="K741" i="1"/>
  <c r="C742" i="1"/>
  <c r="D742" i="1"/>
  <c r="K742" i="1"/>
  <c r="C743" i="1"/>
  <c r="D743" i="1"/>
  <c r="K743" i="1"/>
  <c r="C744" i="1"/>
  <c r="D744" i="1"/>
  <c r="K744" i="1"/>
  <c r="C745" i="1"/>
  <c r="D745" i="1"/>
  <c r="K745" i="1"/>
  <c r="C746" i="1"/>
  <c r="D746" i="1"/>
  <c r="K746" i="1"/>
  <c r="C747" i="1"/>
  <c r="D747" i="1"/>
  <c r="K747" i="1"/>
  <c r="C748" i="1"/>
  <c r="D748" i="1"/>
  <c r="K748" i="1"/>
  <c r="C749" i="1"/>
  <c r="D749" i="1"/>
  <c r="K749" i="1"/>
  <c r="C750" i="1"/>
  <c r="D750" i="1"/>
  <c r="K750" i="1"/>
  <c r="C751" i="1"/>
  <c r="D751" i="1"/>
  <c r="K751" i="1"/>
  <c r="C752" i="1"/>
  <c r="D752" i="1"/>
  <c r="K752" i="1"/>
  <c r="C753" i="1"/>
  <c r="D753" i="1"/>
  <c r="K753" i="1"/>
  <c r="C754" i="1"/>
  <c r="D754" i="1"/>
  <c r="K754" i="1"/>
  <c r="C755" i="1"/>
  <c r="D755" i="1"/>
  <c r="K755" i="1"/>
  <c r="C756" i="1"/>
  <c r="D756" i="1"/>
  <c r="K756" i="1"/>
  <c r="C757" i="1"/>
  <c r="D757" i="1"/>
  <c r="K757" i="1"/>
  <c r="C758" i="1"/>
  <c r="D758" i="1"/>
  <c r="K758" i="1"/>
  <c r="C759" i="1"/>
  <c r="D759" i="1"/>
  <c r="K759" i="1"/>
  <c r="C760" i="1"/>
  <c r="D760" i="1"/>
  <c r="K760" i="1"/>
  <c r="C761" i="1"/>
  <c r="D761" i="1"/>
  <c r="K761" i="1"/>
  <c r="C762" i="1"/>
  <c r="D762" i="1"/>
  <c r="K762" i="1"/>
  <c r="C763" i="1"/>
  <c r="D763" i="1"/>
  <c r="K763" i="1"/>
  <c r="C764" i="1"/>
  <c r="D764" i="1"/>
  <c r="K764" i="1"/>
  <c r="C765" i="1"/>
  <c r="D765" i="1"/>
  <c r="K765" i="1"/>
  <c r="C766" i="1"/>
  <c r="D766" i="1"/>
  <c r="K766" i="1"/>
  <c r="C767" i="1"/>
  <c r="D767" i="1"/>
  <c r="K767" i="1"/>
  <c r="C768" i="1"/>
  <c r="D768" i="1"/>
  <c r="K768" i="1"/>
  <c r="C769" i="1"/>
  <c r="D769" i="1"/>
  <c r="K769" i="1"/>
  <c r="C770" i="1"/>
  <c r="D770" i="1"/>
  <c r="K770" i="1"/>
  <c r="C771" i="1"/>
  <c r="D771" i="1"/>
  <c r="K771" i="1"/>
  <c r="C772" i="1"/>
  <c r="D772" i="1"/>
  <c r="K772" i="1"/>
  <c r="C773" i="1"/>
  <c r="D773" i="1"/>
  <c r="K773" i="1"/>
  <c r="C774" i="1"/>
  <c r="D774" i="1"/>
  <c r="K774" i="1"/>
  <c r="C775" i="1"/>
  <c r="D775" i="1"/>
  <c r="K775" i="1"/>
  <c r="C776" i="1"/>
  <c r="D776" i="1"/>
  <c r="K776" i="1"/>
  <c r="C777" i="1"/>
  <c r="D777" i="1"/>
  <c r="K777" i="1"/>
  <c r="C778" i="1"/>
  <c r="D778" i="1"/>
  <c r="K778" i="1"/>
  <c r="C779" i="1"/>
  <c r="D779" i="1"/>
  <c r="K779" i="1"/>
  <c r="C780" i="1"/>
  <c r="D780" i="1"/>
  <c r="K780" i="1"/>
  <c r="C781" i="1"/>
  <c r="D781" i="1"/>
  <c r="K781" i="1"/>
  <c r="C782" i="1"/>
  <c r="D782" i="1"/>
  <c r="K782" i="1"/>
  <c r="C783" i="1"/>
  <c r="D783" i="1"/>
  <c r="K783" i="1"/>
  <c r="C784" i="1"/>
  <c r="D784" i="1"/>
  <c r="K784" i="1"/>
  <c r="C785" i="1"/>
  <c r="D785" i="1"/>
  <c r="K785" i="1"/>
  <c r="C786" i="1"/>
  <c r="D786" i="1"/>
  <c r="K786" i="1"/>
  <c r="C787" i="1"/>
  <c r="D787" i="1"/>
  <c r="K787" i="1"/>
  <c r="C788" i="1"/>
  <c r="D788" i="1"/>
  <c r="K788" i="1"/>
  <c r="C789" i="1"/>
  <c r="D789" i="1"/>
  <c r="K789" i="1"/>
  <c r="C790" i="1"/>
  <c r="D790" i="1"/>
  <c r="K790" i="1"/>
  <c r="C791" i="1"/>
  <c r="D791" i="1"/>
  <c r="K791" i="1"/>
  <c r="C792" i="1"/>
  <c r="D792" i="1"/>
  <c r="K792" i="1"/>
  <c r="C793" i="1"/>
  <c r="D793" i="1"/>
  <c r="K793" i="1"/>
  <c r="C794" i="1"/>
  <c r="D794" i="1"/>
  <c r="K794" i="1"/>
  <c r="C795" i="1"/>
  <c r="D795" i="1"/>
  <c r="K795" i="1"/>
  <c r="C796" i="1"/>
  <c r="D796" i="1"/>
  <c r="K796" i="1"/>
  <c r="C797" i="1"/>
  <c r="D797" i="1"/>
  <c r="K797" i="1"/>
  <c r="C798" i="1"/>
  <c r="D798" i="1"/>
  <c r="K798" i="1"/>
  <c r="C799" i="1"/>
  <c r="D799" i="1"/>
  <c r="K799" i="1"/>
  <c r="C800" i="1"/>
  <c r="D800" i="1"/>
  <c r="K800" i="1"/>
  <c r="C801" i="1"/>
  <c r="D801" i="1"/>
  <c r="K801" i="1"/>
  <c r="C802" i="1"/>
  <c r="D802" i="1"/>
  <c r="K802" i="1"/>
  <c r="C803" i="1"/>
  <c r="D803" i="1"/>
  <c r="K803" i="1"/>
  <c r="C804" i="1"/>
  <c r="D804" i="1"/>
  <c r="K804" i="1"/>
  <c r="C805" i="1"/>
  <c r="D805" i="1"/>
  <c r="K805" i="1"/>
  <c r="C806" i="1"/>
  <c r="D806" i="1"/>
  <c r="K806" i="1"/>
  <c r="C807" i="1"/>
  <c r="D807" i="1"/>
  <c r="K807" i="1"/>
  <c r="C808" i="1"/>
  <c r="D808" i="1"/>
  <c r="K808" i="1"/>
  <c r="C809" i="1"/>
  <c r="D809" i="1"/>
  <c r="K809" i="1"/>
  <c r="C810" i="1"/>
  <c r="D810" i="1"/>
  <c r="K810" i="1"/>
  <c r="C811" i="1"/>
  <c r="D811" i="1"/>
  <c r="K811" i="1"/>
  <c r="C812" i="1"/>
  <c r="D812" i="1"/>
  <c r="K812" i="1"/>
  <c r="C813" i="1"/>
  <c r="D813" i="1"/>
  <c r="K813" i="1"/>
  <c r="C814" i="1"/>
  <c r="D814" i="1"/>
  <c r="K814" i="1"/>
  <c r="C815" i="1"/>
  <c r="D815" i="1"/>
  <c r="K815" i="1"/>
  <c r="C816" i="1"/>
  <c r="D816" i="1"/>
  <c r="K816" i="1"/>
  <c r="C817" i="1"/>
  <c r="D817" i="1"/>
  <c r="K817" i="1"/>
  <c r="C818" i="1"/>
  <c r="D818" i="1"/>
  <c r="K818" i="1"/>
  <c r="C819" i="1"/>
  <c r="D819" i="1"/>
  <c r="K819" i="1"/>
  <c r="C820" i="1"/>
  <c r="D820" i="1"/>
  <c r="K820" i="1"/>
  <c r="C821" i="1"/>
  <c r="D821" i="1"/>
  <c r="K821" i="1"/>
  <c r="C822" i="1"/>
  <c r="D822" i="1"/>
  <c r="K822" i="1"/>
  <c r="C823" i="1"/>
  <c r="D823" i="1"/>
  <c r="K823" i="1"/>
  <c r="C824" i="1"/>
  <c r="D824" i="1"/>
  <c r="K824" i="1"/>
  <c r="C825" i="1"/>
  <c r="D825" i="1"/>
  <c r="K825" i="1"/>
  <c r="C826" i="1"/>
  <c r="D826" i="1"/>
  <c r="K826" i="1"/>
  <c r="C827" i="1"/>
  <c r="D827" i="1"/>
  <c r="K827" i="1"/>
  <c r="C828" i="1"/>
  <c r="D828" i="1"/>
  <c r="K828" i="1"/>
  <c r="C829" i="1"/>
  <c r="D829" i="1"/>
  <c r="K829" i="1"/>
  <c r="C830" i="1"/>
  <c r="D830" i="1"/>
  <c r="K830" i="1"/>
  <c r="C831" i="1"/>
  <c r="D831" i="1"/>
  <c r="K831" i="1"/>
  <c r="C832" i="1"/>
  <c r="D832" i="1"/>
  <c r="K832" i="1"/>
  <c r="C833" i="1"/>
  <c r="D833" i="1"/>
  <c r="K833" i="1"/>
  <c r="C834" i="1"/>
  <c r="D834" i="1"/>
  <c r="K834" i="1"/>
  <c r="C835" i="1"/>
  <c r="D835" i="1"/>
  <c r="K835" i="1"/>
  <c r="C836" i="1"/>
  <c r="D836" i="1"/>
  <c r="K836" i="1"/>
  <c r="C837" i="1"/>
  <c r="D837" i="1"/>
  <c r="K837" i="1"/>
  <c r="C838" i="1"/>
  <c r="D838" i="1"/>
  <c r="K838" i="1"/>
  <c r="C839" i="1"/>
  <c r="D839" i="1"/>
  <c r="K839" i="1"/>
  <c r="C840" i="1"/>
  <c r="D840" i="1"/>
  <c r="K840" i="1"/>
  <c r="C841" i="1"/>
  <c r="D841" i="1"/>
  <c r="K841" i="1"/>
  <c r="C842" i="1"/>
  <c r="D842" i="1"/>
  <c r="K842" i="1"/>
  <c r="C843" i="1"/>
  <c r="D843" i="1"/>
  <c r="K843" i="1"/>
  <c r="C844" i="1"/>
  <c r="D844" i="1"/>
  <c r="K844" i="1"/>
  <c r="C845" i="1"/>
  <c r="D845" i="1"/>
  <c r="K845" i="1"/>
  <c r="C846" i="1"/>
  <c r="D846" i="1"/>
  <c r="K846" i="1"/>
  <c r="C847" i="1"/>
  <c r="D847" i="1"/>
  <c r="K847" i="1"/>
  <c r="C848" i="1"/>
  <c r="D848" i="1"/>
  <c r="K848" i="1"/>
  <c r="C849" i="1"/>
  <c r="D849" i="1"/>
  <c r="K849" i="1"/>
  <c r="C850" i="1"/>
  <c r="D850" i="1"/>
  <c r="K850" i="1"/>
  <c r="C851" i="1"/>
  <c r="D851" i="1"/>
  <c r="K851" i="1"/>
  <c r="C852" i="1"/>
  <c r="D852" i="1"/>
  <c r="K852" i="1"/>
  <c r="C853" i="1"/>
  <c r="D853" i="1"/>
  <c r="K853" i="1"/>
  <c r="C854" i="1"/>
  <c r="D854" i="1"/>
  <c r="K854" i="1"/>
  <c r="C855" i="1"/>
  <c r="D855" i="1"/>
  <c r="K855" i="1"/>
  <c r="C856" i="1"/>
  <c r="D856" i="1"/>
  <c r="K856" i="1"/>
  <c r="C857" i="1"/>
  <c r="D857" i="1"/>
  <c r="K857" i="1"/>
  <c r="C858" i="1"/>
  <c r="D858" i="1"/>
  <c r="K858" i="1"/>
  <c r="C859" i="1"/>
  <c r="D859" i="1"/>
  <c r="K859" i="1"/>
  <c r="C860" i="1"/>
  <c r="D860" i="1"/>
  <c r="K860" i="1"/>
  <c r="C861" i="1"/>
  <c r="D861" i="1"/>
  <c r="K861" i="1"/>
  <c r="C862" i="1"/>
  <c r="D862" i="1"/>
  <c r="K862" i="1"/>
  <c r="C863" i="1"/>
  <c r="D863" i="1"/>
  <c r="K863" i="1"/>
  <c r="C864" i="1"/>
  <c r="D864" i="1"/>
  <c r="K864" i="1"/>
  <c r="C865" i="1"/>
  <c r="D865" i="1"/>
  <c r="K865" i="1"/>
  <c r="C866" i="1"/>
  <c r="D866" i="1"/>
  <c r="K866" i="1"/>
  <c r="C867" i="1"/>
  <c r="D867" i="1"/>
  <c r="K867" i="1"/>
  <c r="C868" i="1"/>
  <c r="D868" i="1"/>
  <c r="K868" i="1"/>
  <c r="C869" i="1"/>
  <c r="D869" i="1"/>
  <c r="K869" i="1"/>
  <c r="C870" i="1"/>
  <c r="D870" i="1"/>
  <c r="K870" i="1"/>
  <c r="C871" i="1"/>
  <c r="D871" i="1"/>
  <c r="K871" i="1"/>
  <c r="C872" i="1"/>
  <c r="D872" i="1"/>
  <c r="K872" i="1"/>
  <c r="C873" i="1"/>
  <c r="D873" i="1"/>
  <c r="K873" i="1"/>
  <c r="C874" i="1"/>
  <c r="D874" i="1"/>
  <c r="K874" i="1"/>
  <c r="C875" i="1"/>
  <c r="D875" i="1"/>
  <c r="K875" i="1"/>
  <c r="C876" i="1"/>
  <c r="D876" i="1"/>
  <c r="K876" i="1"/>
  <c r="C877" i="1"/>
  <c r="D877" i="1"/>
  <c r="K877" i="1"/>
  <c r="C878" i="1"/>
  <c r="D878" i="1"/>
  <c r="K878" i="1"/>
  <c r="C879" i="1"/>
  <c r="D879" i="1"/>
  <c r="K879" i="1"/>
  <c r="C880" i="1"/>
  <c r="D880" i="1"/>
  <c r="K880" i="1"/>
  <c r="C881" i="1"/>
  <c r="D881" i="1"/>
  <c r="K881" i="1"/>
  <c r="C882" i="1"/>
  <c r="D882" i="1"/>
  <c r="K882" i="1"/>
  <c r="C883" i="1"/>
  <c r="D883" i="1"/>
  <c r="K883" i="1"/>
  <c r="C884" i="1"/>
  <c r="D884" i="1"/>
  <c r="K884" i="1"/>
  <c r="C885" i="1"/>
  <c r="D885" i="1"/>
  <c r="K885" i="1"/>
  <c r="C886" i="1"/>
  <c r="D886" i="1"/>
  <c r="K886" i="1"/>
  <c r="C887" i="1"/>
  <c r="D887" i="1"/>
  <c r="K887" i="1"/>
  <c r="C888" i="1"/>
  <c r="D888" i="1"/>
  <c r="K888" i="1"/>
  <c r="C889" i="1"/>
  <c r="D889" i="1"/>
  <c r="K889" i="1"/>
  <c r="C890" i="1"/>
  <c r="D890" i="1"/>
  <c r="K890" i="1"/>
  <c r="C891" i="1"/>
  <c r="D891" i="1"/>
  <c r="K891" i="1"/>
  <c r="C892" i="1"/>
  <c r="D892" i="1"/>
  <c r="K892" i="1"/>
  <c r="C893" i="1"/>
  <c r="D893" i="1"/>
  <c r="K893" i="1"/>
  <c r="C894" i="1"/>
  <c r="D894" i="1"/>
  <c r="K894" i="1"/>
  <c r="C895" i="1"/>
  <c r="D895" i="1"/>
  <c r="K895" i="1"/>
  <c r="C896" i="1"/>
  <c r="D896" i="1"/>
  <c r="K896" i="1"/>
  <c r="C897" i="1"/>
  <c r="D897" i="1"/>
  <c r="K897" i="1"/>
  <c r="C898" i="1"/>
  <c r="D898" i="1"/>
  <c r="K898" i="1"/>
  <c r="C899" i="1"/>
  <c r="D899" i="1"/>
  <c r="K899" i="1"/>
  <c r="C900" i="1"/>
  <c r="D900" i="1"/>
  <c r="K900" i="1"/>
  <c r="C901" i="1"/>
  <c r="D901" i="1"/>
  <c r="K901" i="1"/>
  <c r="C902" i="1"/>
  <c r="D902" i="1"/>
  <c r="K902" i="1"/>
  <c r="C903" i="1"/>
  <c r="D903" i="1"/>
  <c r="K903" i="1"/>
  <c r="C904" i="1"/>
  <c r="D904" i="1"/>
  <c r="K904" i="1"/>
  <c r="C905" i="1"/>
  <c r="D905" i="1"/>
  <c r="K905" i="1"/>
  <c r="C906" i="1"/>
  <c r="D906" i="1"/>
  <c r="K906" i="1"/>
  <c r="C907" i="1"/>
  <c r="D907" i="1"/>
  <c r="K907" i="1"/>
  <c r="C908" i="1"/>
  <c r="D908" i="1"/>
  <c r="K908" i="1"/>
  <c r="C909" i="1"/>
  <c r="D909" i="1"/>
  <c r="K909" i="1"/>
  <c r="C910" i="1"/>
  <c r="D910" i="1"/>
  <c r="K910" i="1"/>
  <c r="C911" i="1"/>
  <c r="D911" i="1"/>
  <c r="K911" i="1"/>
  <c r="C912" i="1"/>
  <c r="D912" i="1"/>
  <c r="K912" i="1"/>
  <c r="C913" i="1"/>
  <c r="D913" i="1"/>
  <c r="K913" i="1"/>
  <c r="C914" i="1"/>
  <c r="D914" i="1"/>
  <c r="K914" i="1"/>
  <c r="C915" i="1"/>
  <c r="D915" i="1"/>
  <c r="K915" i="1"/>
  <c r="C916" i="1"/>
  <c r="D916" i="1"/>
  <c r="K916" i="1"/>
  <c r="C917" i="1"/>
  <c r="D917" i="1"/>
  <c r="K917" i="1"/>
  <c r="C918" i="1"/>
  <c r="D918" i="1"/>
  <c r="K918" i="1"/>
  <c r="C919" i="1"/>
  <c r="D919" i="1"/>
  <c r="K919" i="1"/>
  <c r="C920" i="1"/>
  <c r="D920" i="1"/>
  <c r="K920" i="1"/>
  <c r="C921" i="1"/>
  <c r="D921" i="1"/>
  <c r="K921" i="1"/>
  <c r="C922" i="1"/>
  <c r="D922" i="1"/>
  <c r="K922" i="1"/>
  <c r="C923" i="1"/>
  <c r="D923" i="1"/>
  <c r="K923" i="1"/>
  <c r="C924" i="1"/>
  <c r="D924" i="1"/>
  <c r="K924" i="1"/>
  <c r="C925" i="1"/>
  <c r="D925" i="1"/>
  <c r="K925" i="1"/>
  <c r="C926" i="1"/>
  <c r="D926" i="1"/>
  <c r="K926" i="1"/>
  <c r="C927" i="1"/>
  <c r="D927" i="1"/>
  <c r="K927" i="1"/>
  <c r="C928" i="1"/>
  <c r="D928" i="1"/>
  <c r="K928" i="1"/>
  <c r="C929" i="1"/>
  <c r="D929" i="1"/>
  <c r="K929" i="1"/>
  <c r="C930" i="1"/>
  <c r="D930" i="1"/>
  <c r="K930" i="1"/>
  <c r="C931" i="1"/>
  <c r="D931" i="1"/>
  <c r="K931" i="1"/>
  <c r="C932" i="1"/>
  <c r="D932" i="1"/>
  <c r="K932" i="1"/>
  <c r="C933" i="1"/>
  <c r="D933" i="1"/>
  <c r="K933" i="1"/>
  <c r="C934" i="1"/>
  <c r="D934" i="1"/>
  <c r="K934" i="1"/>
  <c r="C935" i="1"/>
  <c r="D935" i="1"/>
  <c r="K935" i="1"/>
  <c r="C936" i="1"/>
  <c r="D936" i="1"/>
  <c r="K936" i="1"/>
  <c r="C937" i="1"/>
  <c r="D937" i="1"/>
  <c r="K937" i="1"/>
  <c r="C938" i="1"/>
  <c r="D938" i="1"/>
  <c r="K938" i="1"/>
  <c r="C939" i="1"/>
  <c r="D939" i="1"/>
  <c r="K939" i="1"/>
  <c r="C940" i="1"/>
  <c r="D940" i="1"/>
  <c r="K940" i="1"/>
  <c r="C941" i="1"/>
  <c r="D941" i="1"/>
  <c r="K941" i="1"/>
  <c r="C942" i="1"/>
  <c r="D942" i="1"/>
  <c r="K942" i="1"/>
  <c r="C943" i="1"/>
  <c r="D943" i="1"/>
  <c r="K943" i="1"/>
  <c r="C944" i="1"/>
  <c r="D944" i="1"/>
  <c r="K944" i="1"/>
  <c r="C945" i="1"/>
  <c r="D945" i="1"/>
  <c r="K945" i="1"/>
  <c r="C946" i="1"/>
  <c r="D946" i="1"/>
  <c r="K946" i="1"/>
  <c r="C947" i="1"/>
  <c r="D947" i="1"/>
  <c r="K947" i="1"/>
  <c r="C948" i="1"/>
  <c r="D948" i="1"/>
  <c r="K948" i="1"/>
  <c r="C949" i="1"/>
  <c r="D949" i="1"/>
  <c r="K949" i="1"/>
  <c r="C950" i="1"/>
  <c r="D950" i="1"/>
  <c r="K950" i="1"/>
  <c r="C951" i="1"/>
  <c r="D951" i="1"/>
  <c r="K951" i="1"/>
  <c r="C952" i="1"/>
  <c r="D952" i="1"/>
  <c r="K952" i="1"/>
  <c r="C953" i="1"/>
  <c r="D953" i="1"/>
  <c r="K953" i="1"/>
  <c r="C954" i="1"/>
  <c r="D954" i="1"/>
  <c r="K954" i="1"/>
  <c r="C955" i="1"/>
  <c r="D955" i="1"/>
  <c r="K955" i="1"/>
  <c r="C956" i="1"/>
  <c r="D956" i="1"/>
  <c r="K956" i="1"/>
  <c r="C957" i="1"/>
  <c r="D957" i="1"/>
  <c r="K957" i="1"/>
  <c r="C958" i="1"/>
  <c r="D958" i="1"/>
  <c r="K958" i="1"/>
  <c r="C959" i="1"/>
  <c r="D959" i="1"/>
  <c r="K959" i="1"/>
  <c r="C960" i="1"/>
  <c r="D960" i="1"/>
  <c r="K960" i="1"/>
  <c r="C961" i="1"/>
  <c r="D961" i="1"/>
  <c r="K961" i="1"/>
  <c r="C962" i="1"/>
  <c r="D962" i="1"/>
  <c r="K962" i="1"/>
  <c r="C963" i="1"/>
  <c r="D963" i="1"/>
  <c r="K963" i="1"/>
  <c r="C964" i="1"/>
  <c r="D964" i="1"/>
  <c r="K964" i="1"/>
  <c r="C965" i="1"/>
  <c r="D965" i="1"/>
  <c r="K965" i="1"/>
  <c r="C966" i="1"/>
  <c r="D966" i="1"/>
  <c r="K966" i="1"/>
  <c r="C967" i="1"/>
  <c r="D967" i="1"/>
  <c r="K967" i="1"/>
  <c r="C968" i="1"/>
  <c r="D968" i="1"/>
  <c r="K968" i="1"/>
  <c r="C969" i="1"/>
  <c r="D969" i="1"/>
  <c r="K969" i="1"/>
  <c r="C970" i="1"/>
  <c r="D970" i="1"/>
  <c r="K970" i="1"/>
  <c r="C971" i="1"/>
  <c r="D971" i="1"/>
  <c r="K971" i="1"/>
  <c r="C972" i="1"/>
  <c r="D972" i="1"/>
  <c r="K972" i="1"/>
  <c r="C973" i="1"/>
  <c r="D973" i="1"/>
  <c r="K973" i="1"/>
  <c r="C974" i="1"/>
  <c r="D974" i="1"/>
  <c r="K974" i="1"/>
  <c r="C975" i="1"/>
  <c r="D975" i="1"/>
  <c r="K975" i="1"/>
  <c r="C976" i="1"/>
  <c r="D976" i="1"/>
  <c r="K976" i="1"/>
  <c r="C977" i="1"/>
  <c r="D977" i="1"/>
  <c r="K977" i="1"/>
  <c r="C978" i="1"/>
  <c r="D978" i="1"/>
  <c r="K978" i="1"/>
  <c r="C979" i="1"/>
  <c r="D979" i="1"/>
  <c r="K979" i="1"/>
  <c r="C980" i="1"/>
  <c r="D980" i="1"/>
  <c r="K980" i="1"/>
  <c r="C981" i="1"/>
  <c r="D981" i="1"/>
  <c r="K981" i="1"/>
  <c r="C982" i="1"/>
  <c r="D982" i="1"/>
  <c r="K982" i="1"/>
  <c r="C983" i="1"/>
  <c r="D983" i="1"/>
  <c r="K983" i="1"/>
  <c r="C984" i="1"/>
  <c r="D984" i="1"/>
  <c r="K984" i="1"/>
  <c r="C985" i="1"/>
  <c r="D985" i="1"/>
  <c r="K985" i="1"/>
  <c r="C986" i="1"/>
  <c r="D986" i="1"/>
  <c r="K986" i="1"/>
  <c r="C987" i="1"/>
  <c r="D987" i="1"/>
  <c r="K987" i="1"/>
  <c r="C988" i="1"/>
  <c r="D988" i="1"/>
  <c r="K988" i="1"/>
  <c r="C989" i="1"/>
  <c r="D989" i="1"/>
  <c r="K989" i="1"/>
  <c r="C990" i="1"/>
  <c r="D990" i="1"/>
  <c r="K990" i="1"/>
  <c r="C991" i="1"/>
  <c r="D991" i="1"/>
  <c r="K991" i="1"/>
  <c r="C992" i="1"/>
  <c r="D992" i="1"/>
  <c r="K992" i="1"/>
  <c r="C993" i="1"/>
  <c r="D993" i="1"/>
  <c r="K993" i="1"/>
  <c r="C994" i="1"/>
  <c r="D994" i="1"/>
  <c r="K994" i="1"/>
  <c r="C995" i="1"/>
  <c r="D995" i="1"/>
  <c r="K995" i="1"/>
  <c r="C996" i="1"/>
  <c r="D996" i="1"/>
  <c r="K996" i="1"/>
  <c r="C997" i="1"/>
  <c r="D997" i="1"/>
  <c r="K997" i="1"/>
  <c r="C998" i="1"/>
  <c r="D998" i="1"/>
  <c r="K998" i="1"/>
  <c r="C999" i="1"/>
  <c r="D999" i="1"/>
  <c r="K999" i="1"/>
  <c r="C1000" i="1"/>
  <c r="D1000" i="1"/>
  <c r="K1000" i="1"/>
  <c r="C1001" i="1"/>
  <c r="D1001" i="1"/>
  <c r="K1001" i="1"/>
  <c r="C1002" i="1"/>
  <c r="D1002" i="1"/>
  <c r="K1002" i="1"/>
  <c r="C1003" i="1"/>
  <c r="D1003" i="1"/>
  <c r="K1003" i="1"/>
  <c r="C1004" i="1"/>
  <c r="D1004" i="1"/>
  <c r="K1004" i="1"/>
  <c r="C1005" i="1"/>
  <c r="D1005" i="1"/>
  <c r="K1005" i="1"/>
  <c r="C1006" i="1"/>
  <c r="D1006" i="1"/>
  <c r="K1006" i="1"/>
  <c r="C1007" i="1"/>
  <c r="D1007" i="1"/>
  <c r="K1007" i="1"/>
  <c r="C1008" i="1"/>
  <c r="D1008" i="1"/>
  <c r="K1008" i="1"/>
  <c r="C1009" i="1"/>
  <c r="D1009" i="1"/>
  <c r="K1009" i="1"/>
  <c r="C1010" i="1"/>
  <c r="D1010" i="1"/>
  <c r="K1010" i="1"/>
  <c r="C1011" i="1"/>
  <c r="D1011" i="1"/>
  <c r="K1011" i="1"/>
  <c r="C1012" i="1"/>
  <c r="D1012" i="1"/>
  <c r="K1012" i="1"/>
  <c r="C1013" i="1"/>
  <c r="D1013" i="1"/>
  <c r="K1013" i="1"/>
  <c r="C1014" i="1"/>
  <c r="D1014" i="1"/>
  <c r="K1014" i="1"/>
  <c r="C1015" i="1"/>
  <c r="D1015" i="1"/>
  <c r="K1015" i="1"/>
  <c r="C1016" i="1"/>
  <c r="D1016" i="1"/>
  <c r="K1016" i="1"/>
  <c r="C1017" i="1"/>
  <c r="D1017" i="1"/>
  <c r="K1017" i="1"/>
  <c r="C1018" i="1"/>
  <c r="D1018" i="1"/>
  <c r="K1018" i="1"/>
  <c r="C1019" i="1"/>
  <c r="D1019" i="1"/>
  <c r="K1019" i="1"/>
  <c r="C1020" i="1"/>
  <c r="D1020" i="1"/>
  <c r="K1020" i="1"/>
  <c r="C1021" i="1"/>
  <c r="D1021" i="1"/>
  <c r="K1021" i="1"/>
  <c r="C1022" i="1"/>
  <c r="D1022" i="1"/>
  <c r="K1022" i="1"/>
  <c r="C1023" i="1"/>
  <c r="D1023" i="1"/>
  <c r="K1023" i="1"/>
  <c r="C1024" i="1"/>
  <c r="D1024" i="1"/>
  <c r="K1024" i="1"/>
  <c r="C1025" i="1"/>
  <c r="D1025" i="1"/>
  <c r="K1025" i="1"/>
  <c r="C1026" i="1"/>
  <c r="D1026" i="1"/>
  <c r="K1026" i="1"/>
  <c r="C1027" i="1"/>
  <c r="D1027" i="1"/>
  <c r="K1027" i="1"/>
  <c r="C1028" i="1"/>
  <c r="D1028" i="1"/>
  <c r="K1028" i="1"/>
  <c r="C1029" i="1"/>
  <c r="D1029" i="1"/>
  <c r="K1029" i="1"/>
  <c r="C1030" i="1"/>
  <c r="D1030" i="1"/>
  <c r="K1030" i="1"/>
  <c r="C1031" i="1"/>
  <c r="D1031" i="1"/>
  <c r="K1031" i="1"/>
  <c r="C1032" i="1"/>
  <c r="D1032" i="1"/>
  <c r="K1032" i="1"/>
  <c r="C1033" i="1"/>
  <c r="D1033" i="1"/>
  <c r="K1033" i="1"/>
  <c r="C1034" i="1"/>
  <c r="D1034" i="1"/>
  <c r="K1034" i="1"/>
  <c r="C1035" i="1"/>
  <c r="D1035" i="1"/>
  <c r="K1035" i="1"/>
  <c r="C1036" i="1"/>
  <c r="D1036" i="1"/>
  <c r="K1036" i="1"/>
  <c r="C1037" i="1"/>
  <c r="D1037" i="1"/>
  <c r="K1037" i="1"/>
  <c r="C1038" i="1"/>
  <c r="D1038" i="1"/>
  <c r="K1038" i="1"/>
  <c r="C1039" i="1"/>
  <c r="D1039" i="1"/>
  <c r="K1039" i="1"/>
  <c r="C1040" i="1"/>
  <c r="D1040" i="1"/>
  <c r="K1040" i="1"/>
  <c r="C1041" i="1"/>
  <c r="D1041" i="1"/>
  <c r="K1041" i="1"/>
  <c r="C1042" i="1"/>
  <c r="D1042" i="1"/>
  <c r="K1042" i="1"/>
  <c r="C1043" i="1"/>
  <c r="D1043" i="1"/>
  <c r="K1043" i="1"/>
  <c r="C1044" i="1"/>
  <c r="D1044" i="1"/>
  <c r="K1044" i="1"/>
  <c r="C1045" i="1"/>
  <c r="D1045" i="1"/>
  <c r="K1045" i="1"/>
  <c r="C1046" i="1"/>
  <c r="D1046" i="1"/>
  <c r="K1046" i="1"/>
  <c r="C1047" i="1"/>
  <c r="D1047" i="1"/>
  <c r="K1047" i="1"/>
  <c r="C1048" i="1"/>
  <c r="D1048" i="1"/>
  <c r="K1048" i="1"/>
  <c r="C1049" i="1"/>
  <c r="D1049" i="1"/>
  <c r="K1049" i="1"/>
  <c r="C1050" i="1"/>
  <c r="D1050" i="1"/>
  <c r="K1050" i="1"/>
  <c r="C1051" i="1"/>
  <c r="D1051" i="1"/>
  <c r="K1051" i="1"/>
  <c r="C1052" i="1"/>
  <c r="D1052" i="1"/>
  <c r="K1052" i="1"/>
  <c r="C1053" i="1"/>
  <c r="D1053" i="1"/>
  <c r="K1053" i="1"/>
  <c r="C1054" i="1"/>
  <c r="D1054" i="1"/>
  <c r="K1054" i="1"/>
  <c r="C1055" i="1"/>
  <c r="D1055" i="1"/>
  <c r="K1055" i="1"/>
  <c r="C1056" i="1"/>
  <c r="D1056" i="1"/>
  <c r="K1056" i="1"/>
  <c r="C1057" i="1"/>
  <c r="D1057" i="1"/>
  <c r="K1057" i="1"/>
  <c r="C1058" i="1"/>
  <c r="D1058" i="1"/>
  <c r="K1058" i="1"/>
  <c r="C1059" i="1"/>
  <c r="D1059" i="1"/>
  <c r="K1059" i="1"/>
  <c r="C1060" i="1"/>
  <c r="D1060" i="1"/>
  <c r="K1060" i="1"/>
  <c r="C1061" i="1"/>
  <c r="D1061" i="1"/>
  <c r="K1061" i="1"/>
  <c r="C1062" i="1"/>
  <c r="D1062" i="1"/>
  <c r="K1062" i="1"/>
  <c r="C1063" i="1"/>
  <c r="D1063" i="1"/>
  <c r="K1063" i="1"/>
  <c r="C1064" i="1"/>
  <c r="D1064" i="1"/>
  <c r="K1064" i="1"/>
  <c r="C1065" i="1"/>
  <c r="D1065" i="1"/>
  <c r="K1065" i="1"/>
  <c r="C1066" i="1"/>
  <c r="D1066" i="1"/>
  <c r="K1066" i="1"/>
  <c r="C1067" i="1"/>
  <c r="D1067" i="1"/>
  <c r="K1067" i="1"/>
  <c r="C1068" i="1"/>
  <c r="D1068" i="1"/>
  <c r="K1068" i="1"/>
  <c r="C1069" i="1"/>
  <c r="D1069" i="1"/>
  <c r="K1069" i="1"/>
  <c r="C1070" i="1"/>
  <c r="D1070" i="1"/>
  <c r="K1070" i="1"/>
  <c r="C1071" i="1"/>
  <c r="D1071" i="1"/>
  <c r="K1071" i="1"/>
  <c r="C1072" i="1"/>
  <c r="D1072" i="1"/>
  <c r="K1072" i="1"/>
  <c r="C1073" i="1"/>
  <c r="D1073" i="1"/>
  <c r="K1073" i="1"/>
  <c r="C1074" i="1"/>
  <c r="D1074" i="1"/>
  <c r="K1074" i="1"/>
  <c r="C1075" i="1"/>
  <c r="D1075" i="1"/>
  <c r="K1075" i="1"/>
  <c r="C1076" i="1"/>
  <c r="D1076" i="1"/>
  <c r="K1076" i="1"/>
  <c r="C1077" i="1"/>
  <c r="D1077" i="1"/>
  <c r="K1077" i="1"/>
  <c r="C1078" i="1"/>
  <c r="D1078" i="1"/>
  <c r="K1078" i="1"/>
  <c r="C1079" i="1"/>
  <c r="D1079" i="1"/>
  <c r="K1079" i="1"/>
  <c r="C1080" i="1"/>
  <c r="D1080" i="1"/>
  <c r="K1080" i="1"/>
  <c r="C1081" i="1"/>
  <c r="D1081" i="1"/>
  <c r="K1081" i="1"/>
  <c r="C1082" i="1"/>
  <c r="D1082" i="1"/>
  <c r="K1082" i="1"/>
  <c r="C1083" i="1"/>
  <c r="D1083" i="1"/>
  <c r="K1083" i="1"/>
  <c r="C1084" i="1"/>
  <c r="D1084" i="1"/>
  <c r="K1084" i="1"/>
  <c r="C1085" i="1"/>
  <c r="D1085" i="1"/>
  <c r="K1085" i="1"/>
  <c r="C1086" i="1"/>
  <c r="D1086" i="1"/>
  <c r="K1086" i="1"/>
  <c r="C1087" i="1"/>
  <c r="D1087" i="1"/>
  <c r="K1087" i="1"/>
  <c r="C1088" i="1"/>
  <c r="D1088" i="1"/>
  <c r="K1088" i="1"/>
  <c r="C1089" i="1"/>
  <c r="D1089" i="1"/>
  <c r="K1089" i="1"/>
  <c r="C1090" i="1"/>
  <c r="D1090" i="1"/>
  <c r="K1090" i="1"/>
  <c r="C1091" i="1"/>
  <c r="D1091" i="1"/>
  <c r="K1091" i="1"/>
  <c r="C1092" i="1"/>
  <c r="D1092" i="1"/>
  <c r="K1092" i="1"/>
  <c r="C1093" i="1"/>
  <c r="D1093" i="1"/>
  <c r="K1093" i="1"/>
  <c r="C1095" i="1"/>
  <c r="D1095" i="1"/>
  <c r="K1095" i="1"/>
  <c r="C1096" i="1"/>
  <c r="D1096" i="1"/>
  <c r="K1096" i="1"/>
  <c r="C1097" i="1"/>
  <c r="D1097" i="1"/>
  <c r="K1097" i="1"/>
  <c r="C1098" i="1"/>
  <c r="D1098" i="1"/>
  <c r="K1098" i="1"/>
  <c r="C1099" i="1"/>
  <c r="D1099" i="1"/>
  <c r="K1099" i="1"/>
  <c r="C1100" i="1"/>
  <c r="D1100" i="1"/>
  <c r="K1100" i="1"/>
  <c r="C1101" i="1"/>
  <c r="D1101" i="1"/>
  <c r="K1101" i="1"/>
  <c r="C1102" i="1"/>
  <c r="D1102" i="1"/>
  <c r="K1102" i="1"/>
  <c r="C1103" i="1"/>
  <c r="D1103" i="1"/>
  <c r="K1103" i="1"/>
  <c r="C1104" i="1"/>
  <c r="D1104" i="1"/>
  <c r="K1104" i="1"/>
  <c r="C1105" i="1"/>
  <c r="D1105" i="1"/>
  <c r="K1105" i="1"/>
  <c r="C1106" i="1"/>
  <c r="D1106" i="1"/>
  <c r="K1106" i="1"/>
  <c r="C1107" i="1"/>
  <c r="D1107" i="1"/>
  <c r="K1107" i="1"/>
  <c r="C1108" i="1"/>
  <c r="D1108" i="1"/>
  <c r="K1108" i="1"/>
  <c r="C1109" i="1"/>
  <c r="D1109" i="1"/>
  <c r="K1109" i="1"/>
  <c r="C1110" i="1"/>
  <c r="D1110" i="1"/>
  <c r="K1110" i="1"/>
  <c r="C1111" i="1"/>
  <c r="D1111" i="1"/>
  <c r="K1111" i="1"/>
  <c r="C1112" i="1"/>
  <c r="D1112" i="1"/>
  <c r="K1112" i="1"/>
  <c r="C1113" i="1"/>
  <c r="D1113" i="1"/>
  <c r="K1113" i="1"/>
  <c r="C1114" i="1"/>
  <c r="D1114" i="1"/>
  <c r="K1114" i="1"/>
  <c r="C1115" i="1"/>
  <c r="D1115" i="1"/>
  <c r="K1115" i="1"/>
  <c r="C1116" i="1"/>
  <c r="D1116" i="1"/>
  <c r="K1116" i="1"/>
  <c r="C1117" i="1"/>
  <c r="D1117" i="1"/>
  <c r="K1117" i="1"/>
</calcChain>
</file>

<file path=xl/sharedStrings.xml><?xml version="1.0" encoding="utf-8"?>
<sst xmlns="http://schemas.openxmlformats.org/spreadsheetml/2006/main" count="4732" uniqueCount="1372">
  <si>
    <t>List Price</t>
  </si>
  <si>
    <t>Price Class</t>
  </si>
  <si>
    <t>193001 PVC WHT 1 1/2" CPLG HXH WHT CANPLAS</t>
  </si>
  <si>
    <t>C19A</t>
  </si>
  <si>
    <t>193002 PVC WHT 2" CPLG HXH WHT CANPLAS</t>
  </si>
  <si>
    <t>193003 PVC WHT 3" CPLG HXH WHT CANPLAS</t>
  </si>
  <si>
    <t>193004 PVC WHT 4" CPLG HXH WHT CANPLAS</t>
  </si>
  <si>
    <t>193006 PVC WHT 6" CPLG HXH WHT CANPLAS</t>
  </si>
  <si>
    <t>8" PVC DWV COUPLING HxH WHITE</t>
  </si>
  <si>
    <t>10" PVC DWV COUPLING HxH SCH40 FAB</t>
  </si>
  <si>
    <t>C19B</t>
  </si>
  <si>
    <t>12" PVC DWV COUPLING HxH SCH40 FAB</t>
  </si>
  <si>
    <t>14" PVC DWV COUPLING HxH SCH40 FAB</t>
  </si>
  <si>
    <t>16" PVC DWV COUPLING HxH SCH40 FAB</t>
  </si>
  <si>
    <t>18" PVC DWV COUPLING HxH SCH40 FAB</t>
  </si>
  <si>
    <t>20" PVC DWV COUPLING HxH SCH40 FAB</t>
  </si>
  <si>
    <t>24" PVC DWV COUPLING HxH SCH40 FAB</t>
  </si>
  <si>
    <t>193001R</t>
  </si>
  <si>
    <t>193001R PVC WHT 1 1/2" REP CPLG WO/ PIPE STOP HXH WHT</t>
  </si>
  <si>
    <t>193002R</t>
  </si>
  <si>
    <t>193002R PVC WHT 2" REP CPLG WO/ PIPE STOP HXH WHT CANPLAS</t>
  </si>
  <si>
    <t>193003R</t>
  </si>
  <si>
    <t>193003R PVC WHT 3" REP CPLG WO/ PIPE STOP HXH WHT CANPLAS</t>
  </si>
  <si>
    <t>193004R</t>
  </si>
  <si>
    <t>193004R PVC WHT 4" REP CPLG WO/ PIPE STOP HXH WHT CANPLAS</t>
  </si>
  <si>
    <t>6" PVC DWV REPAIR CPLG HxH WHITE FAB</t>
  </si>
  <si>
    <t>8" PVC DWV REPAIR CPLG HxH WHITE FAB</t>
  </si>
  <si>
    <t>12" PVC DWV REPAIR CPLG HxH WHITE FAB</t>
  </si>
  <si>
    <t>193022 PVC WHT 2X1 1/2" RED CPLGHXH WHT CANPLAS</t>
  </si>
  <si>
    <t>193023 PVC WHT 3X1 1/2" RED CPLGHXH WHT CANPLAS</t>
  </si>
  <si>
    <t>193024 PVC WHT 3X2" RED CPLG HXHWHT CANPLAS</t>
  </si>
  <si>
    <t>193025 PVC WHT 4X2" RED CPLG HXHWHT CANPLAS</t>
  </si>
  <si>
    <t>193026 PVC WHT 4X3" RED CPLG HXHWHT CANPLAS</t>
  </si>
  <si>
    <t>193037 PVC WHT 6X4" RED CPLG HXHWHT CANPLAS</t>
  </si>
  <si>
    <t>8"x4" PVC DWV RED. CPLG HxH WHITE</t>
  </si>
  <si>
    <t>8"x6" PVC DWV RED. CPLG HxH WHITE</t>
  </si>
  <si>
    <t>10"x4" PVC DWV RED. CPLG HxH WHITE FAB</t>
  </si>
  <si>
    <t>10"x6" PVC DWV RED. CPLG HxH WHITE FAB</t>
  </si>
  <si>
    <t>10"x8" PVC DWV RED. CPLG HxH SCH40 FAB</t>
  </si>
  <si>
    <t>12"x4" PVC DWV RED. CPLG HxH WHITE FAB</t>
  </si>
  <si>
    <t>12"x6" PVC DWV RED. CPLG HxH WHITE FAB</t>
  </si>
  <si>
    <t>12"x8" PVC DWV RED. CPLG HxH SCH40 FAB</t>
  </si>
  <si>
    <t>12"x10" PVC DWV RED. CPLGHxH SCH40 FAB</t>
  </si>
  <si>
    <t>14"x4" PVC DWV RED. CPLG HxH SCH40 FAB</t>
  </si>
  <si>
    <t>14"x6" PVC DWV RED. CPLG HxH SCH40 FAB</t>
  </si>
  <si>
    <t>14"x8" PVC DWV RED. CPLG HxH SCH40 FAB</t>
  </si>
  <si>
    <t>14"x10" PVC DWV RED. CPLGHxH SCH40 FAB</t>
  </si>
  <si>
    <t>14"x12" PVC DWV RED. CPLGHxH SCH40 FAB</t>
  </si>
  <si>
    <t>16"x4" PVC DWV RED. CPLG HxH SCH40 FAB</t>
  </si>
  <si>
    <t>16"x6" PVC DWV RED. CPLG HxH SCH40 FAB</t>
  </si>
  <si>
    <t>16"x8" PVC DWV RED. CPLG HxH SCH40 FAB</t>
  </si>
  <si>
    <t>16"x10" PVC DWV RED. CPLGHxH SCH40 FAB</t>
  </si>
  <si>
    <t>16"x12" PVC DWV RED. CPLGHxH SCH40 FAB</t>
  </si>
  <si>
    <t>16"x14" PVC DWV RED. CPLGHxH SCH40 FAB</t>
  </si>
  <si>
    <t>18"x4" PVC DWV RED. CPLG HxH SCH40 FAB</t>
  </si>
  <si>
    <t>18"x6" PVC DWV RED. CPLG HxH SCH40 FAB</t>
  </si>
  <si>
    <t>18"x8" PVC DWV RED. CPLG HxH SCH40 FAB</t>
  </si>
  <si>
    <t>18"x10" PVC DWV RED. CPLGHxH SCH40 FAB</t>
  </si>
  <si>
    <t>18"x12" PVC DWV RED. CPLGHxH SCH40 WHITE FAB</t>
  </si>
  <si>
    <t>18"x14" PVC DWV RED. CPLGHxH SCH40 FAB</t>
  </si>
  <si>
    <t>18"x16" PVC DWV RED. CPLGHxH SCH40 FAB</t>
  </si>
  <si>
    <t>20"x4" PVC DWV RED. CPLG HxH SCH40 FAB</t>
  </si>
  <si>
    <t>20"x6" PVC DWV RED. CPLG HxH SCH40 FAB</t>
  </si>
  <si>
    <t>20"x8" PVC DWV RED. CPLG HxH SCH40 FAB</t>
  </si>
  <si>
    <t>20"x10" PVC DWV RED. CPLGHxH SCH40 FAB</t>
  </si>
  <si>
    <t>20"x12" PVC DWV RED. CPLGHxH SCH40 FAB</t>
  </si>
  <si>
    <t>20"x14" PVC DWV RED. CPLGHxH SCH40 FAB</t>
  </si>
  <si>
    <t>20"x16" PVC DWV RED. CPLGHxH SCH40 FAB</t>
  </si>
  <si>
    <t>20"x18" PVC DWV RED. CPLGHxH SCH40 FAB</t>
  </si>
  <si>
    <t>24"x4" PVC DWV RED. CPLG HxH SCH40 FAB</t>
  </si>
  <si>
    <t>24"x6" PVC DWV RED. CPLG HxH SCH40 FAB</t>
  </si>
  <si>
    <t>24"x8" PVC DWV RED. CPLG HxH SCH40 FAB</t>
  </si>
  <si>
    <t>24"x10" PVC DWV RED. CPLGHxH SCH40 FAB</t>
  </si>
  <si>
    <t>24"x12" PVC DWV RED. CPLGHxH SCH40 FAB</t>
  </si>
  <si>
    <t>24"x14" PVC DWV RED. CPLGHxH SCH40 FAB</t>
  </si>
  <si>
    <t>24"x16" PVC DWV RED. CPLGHxH SCH40 FAB</t>
  </si>
  <si>
    <t>24"x18" PVC DWV RED. CPLGHxH SCH40 FAB</t>
  </si>
  <si>
    <t>24"x20" PVC DWV RED. CPLGHxH SCH40 FAB</t>
  </si>
  <si>
    <t>6"x4" PVC DWV ECC. COUPLING HxH SCH40 FAB</t>
  </si>
  <si>
    <t>8"x6" PVC DWV ECC. COUPLING HxH SCH40 FAB</t>
  </si>
  <si>
    <t>10"x8" PVC DWV ECC. COUPLING HxH SCH40 FAB</t>
  </si>
  <si>
    <t>12"x10" PVC DWV ECC. COUPLING HxH SCH40 FAB</t>
  </si>
  <si>
    <t>16"x14" PVC DWV ECC. COUPLING HxH SCH40 FAB</t>
  </si>
  <si>
    <t>18"x16" PVC DWV ECC. COUPLING HxH SCH40 FAB</t>
  </si>
  <si>
    <t>10"x4" PVC DWV ECC. COUPLING HxH SCH40 FAB</t>
  </si>
  <si>
    <t>12"x4" PVC DWV ECC. COUPLING HxH SCH40 FAB</t>
  </si>
  <si>
    <t>12"x6" PVC DWV ECC. COUPLING HxH SCH40 FAB</t>
  </si>
  <si>
    <t>14"x4" PVC DWV ECC. COUPLING HxH SCH40 FAB</t>
  </si>
  <si>
    <t>14"x6" PVC DWV ECC. COUPLING HxH SCH40 FAB</t>
  </si>
  <si>
    <t>14"x8" PVC DWV ECC. COUPLING HxH SCH40 FAB</t>
  </si>
  <si>
    <t>16"x4" PVC DWV ECC. COUPLING HxH SCH40 FAB</t>
  </si>
  <si>
    <t>16"x6" PVC DWV ECC. COUPLING HxH SCH40 FAB</t>
  </si>
  <si>
    <t>16"x8" PVC DWV ECC. COUPLING HxH SCH40 FAB</t>
  </si>
  <si>
    <t>16"x10" PVC DWV ECC. COUPLING HxH SCH40 FAB</t>
  </si>
  <si>
    <t>18"x4" PVC DWV ECC. COUPLING HxH SCH40 FAB</t>
  </si>
  <si>
    <t>18"x6" PVC DWV ECC. COUPLING HxH SCH40 FAB</t>
  </si>
  <si>
    <t>18"x8" PVC DWV ECC. COUPLING HxH SCH40 FAB</t>
  </si>
  <si>
    <t>18"x10" PVC DWV ECC. COUPLING HxH SCH40 FAB</t>
  </si>
  <si>
    <t>18"x12" PVC DWV ECC. COUPLING HxH SCH40 FAB</t>
  </si>
  <si>
    <t>20"x4" PVC DWV ECC. COUPLING HxH SCH40 FAB</t>
  </si>
  <si>
    <t>20"x6" PVC DWV ECC. COUPLING HxH SCH40 FAB</t>
  </si>
  <si>
    <t>20"x8" PVC DWV ECC. COUPLING HxH SCH40 FAB</t>
  </si>
  <si>
    <t>20"x10" PVC DWV ECC. COUPLING HxH SCH40 FAB</t>
  </si>
  <si>
    <t>20"x12" PVC DWV ECC. COUPLING HxH SCH40 FAB</t>
  </si>
  <si>
    <t>20"x14" PVC DWV ECC. COUPLING HxH SCH40 FAB</t>
  </si>
  <si>
    <t>24"x4" PVC DWV ECC. COUPLING HxH SCH40 FAB</t>
  </si>
  <si>
    <t>24"x6" PVC DWV ECC. COUPLING HxH SCH40 FAB</t>
  </si>
  <si>
    <t>24"x8" PVC DWV ECC. COUPLING HxH SCH40 FAB</t>
  </si>
  <si>
    <t>24"x10" PVC DWV ECC. COUPLING HxH SCH40 FAB</t>
  </si>
  <si>
    <t>24"x12" PVC DWV ECC. COUPLING HxH SCH40 FAB</t>
  </si>
  <si>
    <t>24"x14" PVC DWV ECC. COUPLING HxH SCH40 FAB</t>
  </si>
  <si>
    <t>24"x16" PVC DWV ECC. COUPLING HxH SCH40 FAB</t>
  </si>
  <si>
    <t>10"x4" PVC DWV ECC. COUPLING SPxH SCH40 FAB</t>
  </si>
  <si>
    <t>12"x4" PVC DWV ECC. COUPLING SPxH SCH40 FAB</t>
  </si>
  <si>
    <t>12"x6" PVC DWV ECC. COUPLING SPxH SCH40 FAB</t>
  </si>
  <si>
    <t>14"x4" PVC DWV ECC. COUPLING SPxH SCH40 FAB</t>
  </si>
  <si>
    <t>14"x6" PVC DWV ECC. COUPLING SPxH SCH40 FAB</t>
  </si>
  <si>
    <t>14"x8" PVC DWV ECC. COUPLING SPxH SCH40 FAB</t>
  </si>
  <si>
    <t>16"x4" PVC DWV ECC. COUPLING SPxH SCH40 FAB</t>
  </si>
  <si>
    <t>16"x6" PVC DWV ECC. COUPLING SPxH SCH40 FAB</t>
  </si>
  <si>
    <t>16"x8" PVC DWV ECC. COUPLING SPxH SCH40 FAB</t>
  </si>
  <si>
    <t>16"x10" PVC DWV ECC. COUPLING SPxH SCH40 FAB</t>
  </si>
  <si>
    <t>18"x4" PVC DWV ECC. COUPLING SPxH SCH40 FAB</t>
  </si>
  <si>
    <t>18"x6" PVC DWV ECC. COUPLING SPxH SCH40 FAB</t>
  </si>
  <si>
    <t>18"x8" PVC DWV ECC. COUPLING SPxH SCH40 FAB</t>
  </si>
  <si>
    <t>18"x10" PVC DWV ECC. COUPLING SPxH SCH40 FAB</t>
  </si>
  <si>
    <t>18"x12" PVC DWV ECC. COUPLING SPxH SCH40 FAB</t>
  </si>
  <si>
    <t>20"x4" PVC DWV ECC. COUPLING SPxH SCH40 FAB</t>
  </si>
  <si>
    <t>20"x6" PVC DWV ECC. COUPLING SPxH SCH40 FAB</t>
  </si>
  <si>
    <t>20"x8" PVC DWV ECC. COUPLING SPxH SCH40 FAB</t>
  </si>
  <si>
    <t>20"x10" PVC DWV ECC. COUPLING SPxH SCH40 FAB</t>
  </si>
  <si>
    <t>20"x12" PVC DWV ECC. COUPLING SPxH SCH40 FAB</t>
  </si>
  <si>
    <t>20"x14" PVC DWV ECC. COUPLING SPxH SCH40 FAB</t>
  </si>
  <si>
    <t>24"x4" PVC DWV ECC. COUPLING SPxH SCH40 FAB</t>
  </si>
  <si>
    <t>24"x6" PVC DWV ECC. COUPLING SPxH SCH40 FAB</t>
  </si>
  <si>
    <t>24"x8" PVC DWV ECC. COUPLING SPxH SCH40 FAB</t>
  </si>
  <si>
    <t>24"x10" PVC DWV ECC. COUPLING SPxH SCH40 FAB</t>
  </si>
  <si>
    <t>24"x12" PVC DWV ECC. COUPLING SPxH SCH40 FAB</t>
  </si>
  <si>
    <t>24"x14" PVC DWV ECC. COUPLING SPxH SCH40 FAB</t>
  </si>
  <si>
    <t>24"x16" PVC DWV ECC. COUPLING SPxH SCH40 FAB</t>
  </si>
  <si>
    <t>192752 PVC WHT 2X1 1/2" RED BUSHSPGXH WHT CANPLAS</t>
  </si>
  <si>
    <t>192762 PVC WHT 3X1 1/2" RED BUSHSPGXH WHT CANPLAS</t>
  </si>
  <si>
    <t>192754 PVC WHT 3X2" RED BUSH SPGXH WHT CANPLAS</t>
  </si>
  <si>
    <t>192758 PVC WHT 4X2" RED BUSH SPGXH WHT CANPLAS</t>
  </si>
  <si>
    <t>192756 PVC WHT 4X3" RED BUSH SPGXH WHT CANPLAS</t>
  </si>
  <si>
    <t>192766 PVC WHT 6X3" RED BUSH SPGXH WHT CANPLAS</t>
  </si>
  <si>
    <t>192767 PVC WHT 6X4" RED BUSH SPGXH WHT CANPLAS</t>
  </si>
  <si>
    <t>8"x6" PVC DWV FLUSH RED. BUSHING SPxH WHITE</t>
  </si>
  <si>
    <t>10"x8" PVC DWV FLUSH RED.BUSHING SPxH WHITE</t>
  </si>
  <si>
    <t>C19C</t>
  </si>
  <si>
    <t>12"x10" PVC DWV FLUSH RED. BUSHING SPxH WHITE</t>
  </si>
  <si>
    <t>12"x6" PVC DWV EXT BUSHING SPxH WHITE</t>
  </si>
  <si>
    <t>12"x8" PVC DWV EXT BUSHING SPxH WHITE</t>
  </si>
  <si>
    <t>12"x10" PVC DWV EXT BUSHING SPxH</t>
  </si>
  <si>
    <t>14"x4" PVC DWV EXT BUSHING SPxH WHITE</t>
  </si>
  <si>
    <t>14"x6" PVC DWV EXT BUSHING SPxH WHITE</t>
  </si>
  <si>
    <t>14"x8" PVC DWV EXT BUSHING SPxH SCH40 FAB</t>
  </si>
  <si>
    <t>14"x10" PVC DWV EXT BUSHING SPxH SCH40 FAB</t>
  </si>
  <si>
    <t>14"x12" PVC DWV EXT BUSHING SPxH SCH40 FAB</t>
  </si>
  <si>
    <t>16"x4" PVC DWV EXT BUSHING SPxH SCH40 FAB</t>
  </si>
  <si>
    <t>16"x6" PVC DWV EXT BUSHING SPxH SCH40 FAB</t>
  </si>
  <si>
    <t>16"x8" PVC DWV EXT BUSHING SPxH SCH40 FAB</t>
  </si>
  <si>
    <t>16"x10" PVC DWV EXT BUSHING SPxH SCH40 FAB</t>
  </si>
  <si>
    <t>16"x12" PVC DWV EXT BUSHING SPxH SCH40 FAB</t>
  </si>
  <si>
    <t>16"x14" PVC DWV EXT BUSHING SPxH SCH40 FAB</t>
  </si>
  <si>
    <t>18"x4" PVC DWV EXT BUSHING SPxH SCH40 FAB</t>
  </si>
  <si>
    <t>18"x6" PVC DWV EXT BUSHING SPxH SCH40 FAB</t>
  </si>
  <si>
    <t>18"x8" PVC DWV EXT BUSHING SPxH SCH40 FAB</t>
  </si>
  <si>
    <t>18"x10" PVC DWV EXT BUSHING SPxH SCH40 FAB</t>
  </si>
  <si>
    <t>18"x12" PVC DWV EXT BUSHING SPxH SCH40 FAB</t>
  </si>
  <si>
    <t>18"x14" PVC DWV EXT BUSHING SPxH SCH40 FAB</t>
  </si>
  <si>
    <t>18"x16" PVC DWV EXT BUSHING SPxH SCH40 FAB</t>
  </si>
  <si>
    <t>20"x4" PVC DWV EXT BUSHING SPxH SCH40 FAB</t>
  </si>
  <si>
    <t>20"x6" PVC DWV EXT BUSHING SPxH SCH40 FAB</t>
  </si>
  <si>
    <t>20"x8" PVC DWV EXT BUSHING SPxH SCH40 FAB</t>
  </si>
  <si>
    <t>20"x10" PVC DWV EXT BUSHING SPxH SCH40 FAB</t>
  </si>
  <si>
    <t>20"x12" PVC DWV EXT BUSHING SPxH SCH40 FAB</t>
  </si>
  <si>
    <t>20"x14" PVC DWV EXT BUSHING SPxH SCH40 FAB</t>
  </si>
  <si>
    <t>20"x16" PVC DWV EXT BUSHING SPxH SCH40 FAB</t>
  </si>
  <si>
    <t>20"x18" PVC DWV EXT BUSHING SPxH SCH40 FAB</t>
  </si>
  <si>
    <t>24"x4" PVC DWV EXT BUSHING SPxH SCH40 FAB</t>
  </si>
  <si>
    <t>24"x6" PVC DWV EXT BUSHING SPxH SCH40 FAB</t>
  </si>
  <si>
    <t>24"x8" PVC DWV EXT BUSHING SPxH SCH40 FAB</t>
  </si>
  <si>
    <t>24"x10" PVC DWV EXT BUSHING SPxH SCH40 FAB</t>
  </si>
  <si>
    <t>24"x12" PVC DWV EXT BUSHING SPxH SCH40 FAB</t>
  </si>
  <si>
    <t>24"x14" PVC DWV EXT BUSHING SPxH SCH40 FAB</t>
  </si>
  <si>
    <t>24"x16" PVC DWV EXT BUSHING SPxH SCH40 FAB</t>
  </si>
  <si>
    <t>24"x18" PVC DWV EXT BUSHING SPxH SCH40 FAB</t>
  </si>
  <si>
    <t>24"x20" PVC DWV EXT BUSHING SPxH SCH40 FAB</t>
  </si>
  <si>
    <t>192860 PVC WHT 1 1/4X1 1/2" MALEADPT HXMPT WHT CANPLAS</t>
  </si>
  <si>
    <t>192871 PVC WHT 1 1/2" MALE ADPT HXMPT WHT CANPLAS</t>
  </si>
  <si>
    <t>192872 PVC WHT 2" MALE ADPT HXMPT WHT CANPLAS</t>
  </si>
  <si>
    <t>192873 PVC WHT 3" MALE ADPT HXMPT WHT CANPLAS</t>
  </si>
  <si>
    <t>192874 PVC WHT 4" MALE ADPT HXMPT WHT CANPLAS</t>
  </si>
  <si>
    <t>192876 PVC WHT 6" MALE ADPT HXMPT WHT CANPLAS</t>
  </si>
  <si>
    <t>8" PVC DWV ADAPTER HxMPT SCH40 FAB</t>
  </si>
  <si>
    <t>10" PVC DWV ADAPTER HxMPTSCH40 FAB</t>
  </si>
  <si>
    <t>12" PVC DWV ADAPTER HxMPTSCH40 FAB</t>
  </si>
  <si>
    <t>192891 PVC WHT 1 1/2" FEM ADPT HXFPT WHT CANPLAS</t>
  </si>
  <si>
    <t>192892 PVC WHT 2" FEM ADPT HXFPTWHT CANPLAS</t>
  </si>
  <si>
    <t>192893 PVC WHT 3" FEM ADPT HXFPTWHT CANPLAS</t>
  </si>
  <si>
    <t>192894 PVC WHT 4" FEM ADPT HXFPTWHT CANPLAS</t>
  </si>
  <si>
    <t>6" PVC DWV FEMALE ADPT HxFPT WHITE</t>
  </si>
  <si>
    <t>8" PVC DWV ADAPTER HxFPT SCH40 FAB</t>
  </si>
  <si>
    <t>10" PVC DWV ADAPTER HxFPTSCH40 FAB</t>
  </si>
  <si>
    <t>12" PVC DWV ADAPTER HxFPTSCH40 FAB</t>
  </si>
  <si>
    <t>14" PVC DWV ADAPTER HxFPTSCH40 FAB</t>
  </si>
  <si>
    <t>16" PVC DWV ADAPTER HxFPTSCH40 FAB</t>
  </si>
  <si>
    <t>18" PVC DWV ADAPTER HxFPTSCH40 FAB</t>
  </si>
  <si>
    <t>20" PVC DWV ADAPTER HxFPTSCH40 FAB</t>
  </si>
  <si>
    <t>24" PVC DWV ADAPTER HxFPTSCH40 FAB</t>
  </si>
  <si>
    <t>193701AS</t>
  </si>
  <si>
    <t>193701AS PVC WHT 1 1/2" FEM ADPT W/ C/O PLUG SPGXFPT WHT</t>
  </si>
  <si>
    <t>193702AS</t>
  </si>
  <si>
    <t>193702AS PVC WHT 2" FEM ADPT W/ C/O PLUG SPGXFPT WHT</t>
  </si>
  <si>
    <t>193703AS</t>
  </si>
  <si>
    <t>193703AS PVC WHT 3" FEM ADPT W/ C/O PLUG SPGXFPT WHT</t>
  </si>
  <si>
    <t>193704AS</t>
  </si>
  <si>
    <t>193704AS PVC WHT 4" FEM ADPT W/ C/O PLUG SPGXFPT WHT</t>
  </si>
  <si>
    <t>193706AS</t>
  </si>
  <si>
    <t>193706AS PVC WHT 6" FEM ADPT W/ C/O PLUG SPGXFPT WHT</t>
  </si>
  <si>
    <t>193708A</t>
  </si>
  <si>
    <t>8" PVC DWV C/O ADPT W/ PLUG HxFPT WHITE</t>
  </si>
  <si>
    <t>193705A</t>
  </si>
  <si>
    <t>10" PVC DWV C/O ADPT W/ PLUG SPxFPT WHITE</t>
  </si>
  <si>
    <t>193707A</t>
  </si>
  <si>
    <t>12" PVC DWV C/O ADPT W/ PLUG SPxFPT WHITE</t>
  </si>
  <si>
    <t>192898A</t>
  </si>
  <si>
    <t>192895A</t>
  </si>
  <si>
    <t>10" PVC DWV C/O ADPT W/ PLUG HxFPT WHITE</t>
  </si>
  <si>
    <t>192897A</t>
  </si>
  <si>
    <t>12" PVC DWV C/O ADPT W/ PLUG HxFPT WHITE</t>
  </si>
  <si>
    <t>193701S</t>
  </si>
  <si>
    <t>193701S PVC WHT 1 1/2" FEM ADPT SPGXFPT WHT CANPLAS</t>
  </si>
  <si>
    <t>193702S</t>
  </si>
  <si>
    <t>193702S PVC WHT 2" FEM ADPT SPGXFPT WHT CANPLAS</t>
  </si>
  <si>
    <t>193703S</t>
  </si>
  <si>
    <t>193703S PVC WHT 3" FEM ADPT SPGXFPT WHT CANPLAS</t>
  </si>
  <si>
    <t>193704S</t>
  </si>
  <si>
    <t>193704S PVC WHT 4" FEM ADPT SPGXFPT WHT CANPLAS</t>
  </si>
  <si>
    <t>193706S</t>
  </si>
  <si>
    <t>193706S PVC WHT 6" FEM ADPT SPGXFPT WHT CANPLAS</t>
  </si>
  <si>
    <t>8" PVC DWV ADAPTER SPxFPTSCH40 FAB</t>
  </si>
  <si>
    <t>10" PVC DWV ADAPTER SPxFPT SCH40 FAB</t>
  </si>
  <si>
    <t>12" PVC DWV ADAPTER SPxFPT SCH40 FAB</t>
  </si>
  <si>
    <t>14" PVC DWV ADAPTER SPxFPT SCH40 FAB</t>
  </si>
  <si>
    <t>16" PVC DWV ADAPTER SPxFPT SCH40 FAB</t>
  </si>
  <si>
    <t>18" PVC DWV ADAPTER SPxFPT SCH40 FAB</t>
  </si>
  <si>
    <t>20" PVC DWV ADAPTER SPxFPT SCH40 FAB</t>
  </si>
  <si>
    <t>24" PVC DWV ADAPTER SPxFPT SCH40 FAB</t>
  </si>
  <si>
    <t>193051S</t>
  </si>
  <si>
    <t>193051S PVC WHT 1 1/2" C/O PLUG MPT WHT CANPLAS</t>
  </si>
  <si>
    <t>193052S</t>
  </si>
  <si>
    <t>193052S PVC WHT 2" C/O PLUG MPT WHT CANPLAS</t>
  </si>
  <si>
    <t>193053S</t>
  </si>
  <si>
    <t>193053S PVC WHT 3" C/O PLUG MPT WHT CANPLAS</t>
  </si>
  <si>
    <t>193054S</t>
  </si>
  <si>
    <t>193054S PVC WHT 4" C/O PLUG MPT WHT CANPLAS</t>
  </si>
  <si>
    <t>193057S</t>
  </si>
  <si>
    <t>193057S PVC WHT 6" C/O PLUG MPT WHT CANPLAS</t>
  </si>
  <si>
    <t>8" PVC DWV PLUG MPT WHITEFAB</t>
  </si>
  <si>
    <t>10" PVC DWV PLUG MPT WHITE</t>
  </si>
  <si>
    <t>12" PVC DWV PLUG MPT DWV WHITE</t>
  </si>
  <si>
    <t>14" PVC DWV PLUG MPT SCH40 FAB</t>
  </si>
  <si>
    <t>16" PVC DWV PLUG MPT SCH40 FAB</t>
  </si>
  <si>
    <t>18" PVC DWV PLUG MPT SCH40 FAB</t>
  </si>
  <si>
    <t>20" PVC DWV PLUG MPT SCH40 FAB</t>
  </si>
  <si>
    <t>24" PVC DWV PLUG MPT SCH40 FAB</t>
  </si>
  <si>
    <t>193062 PVC WHT 2" C/O PLUG MPT WHT CANPLAS</t>
  </si>
  <si>
    <t>193063 PVC WHT 3" C/O PLUG MPT WHT CANPLAS</t>
  </si>
  <si>
    <t>193064 PVC WHT 4" C/O PLUG MPT WHT CANPLAS</t>
  </si>
  <si>
    <t>193066 PVC WHT 6" C/O PLUG MPT WHT CANPLAS</t>
  </si>
  <si>
    <t>193081 PVC WHT 1 1/2" CAP H WHT CANPLAS</t>
  </si>
  <si>
    <t>193082 PVC WHT 2" CAP H WHT CANPLAS</t>
  </si>
  <si>
    <t>193083S</t>
  </si>
  <si>
    <t>193083S PVC WHT 3" DOMED CAP H WHT CANPLAS</t>
  </si>
  <si>
    <t>193084S</t>
  </si>
  <si>
    <t>193084S PVC WHT 4" DOMED CAP H WHT CANPLAS</t>
  </si>
  <si>
    <t>193086 PVC WHT 6" CAP H WHT CANPLAS</t>
  </si>
  <si>
    <t>8" PVC DWV CAP HUB WHITE</t>
  </si>
  <si>
    <t>10" PVC DWV CAP HUB WHITE</t>
  </si>
  <si>
    <t>10" PVC DWV CAP HUB SCH40FAB</t>
  </si>
  <si>
    <t>12" PVC DWV CAP HUB SCH40FAB</t>
  </si>
  <si>
    <t>14" PVC DWV CAP HUB SCH40FAB</t>
  </si>
  <si>
    <t>16" PVC DWV CAP HUB SCH40FAB</t>
  </si>
  <si>
    <t>18" PVC DWV CAP HUB SCH40FAB</t>
  </si>
  <si>
    <t>20" PVC DWV CAP HUB SCH40FAB</t>
  </si>
  <si>
    <t>24" PVC DWV CAP HUB SCH40FAB</t>
  </si>
  <si>
    <t>4" PVC DWV PLUG SP SCH40 WHITE</t>
  </si>
  <si>
    <t>6" PVC DWV PLUG SP WHITE</t>
  </si>
  <si>
    <t>8" PVC DWV PLUG SP WHITE</t>
  </si>
  <si>
    <t>10" PVC DWV PLUG SP WHITE</t>
  </si>
  <si>
    <t>12" PVC DWV PLUG SP WHITE</t>
  </si>
  <si>
    <t>14" PVC DWV PLUG SP SCH40FAB</t>
  </si>
  <si>
    <t>16" PVC DWV PLUG SP SCH40FAB</t>
  </si>
  <si>
    <t>18" PVC DWV PLUG SP SCH40FAB</t>
  </si>
  <si>
    <t>20" PVC DWV PLUG SP SCH40FAB</t>
  </si>
  <si>
    <t>24" PVC DWV PLUG SP SCH40FAB</t>
  </si>
  <si>
    <t>192551 PVC WHT 1 1/2" 22.5D ELL HXH WHT CANPLAS</t>
  </si>
  <si>
    <t>192552 PVC WHT 2" 22.5D ELL HXH WHT CANPLAS</t>
  </si>
  <si>
    <t>192553 PVC WHT 3" 22.5D ELL HXH WHT CANPLAS</t>
  </si>
  <si>
    <t>192554 PVC WHT 4" 22.5D ELL HXH WHT CANPLAS</t>
  </si>
  <si>
    <t>192556 PVC WHT 6" 22.5D ELL HXH WHT CANPLAS</t>
  </si>
  <si>
    <t>8"x22 1/2D PVC DWV ELBOW HxH SCH40 FAB</t>
  </si>
  <si>
    <t>10"x22 1/2D PVC DWV ELBOWHxH SCH40 FAB</t>
  </si>
  <si>
    <t>12"x22 1/2D PVC DWV ELBOWHxH SCH40 FAB</t>
  </si>
  <si>
    <t>14"x22 1/2D PVC DWV ELBOWHxH SCH40 FAB</t>
  </si>
  <si>
    <t>16"x22 1/2D PVC DWV ELBOWHxH SCH40 FAB</t>
  </si>
  <si>
    <t>18"x22 1/2D PVC DWV ELBOWHxH SCH40 FAB</t>
  </si>
  <si>
    <t>20"x22 1/2D PVC DWV ELBOWHxH SCH40 FAB</t>
  </si>
  <si>
    <t>24"x22 1/2D PVC DWV ELBOWHxH SCH40 FAB</t>
  </si>
  <si>
    <t>192561 PVC WHT 1 1/2" 22.5D STR ELL SPGXH WHT CANPLAS</t>
  </si>
  <si>
    <t>192562 PVC WHT 2" 22.5D STR ELL SPGXH WHT CANPLAS</t>
  </si>
  <si>
    <t>192563 PVC WHT 3" 22.5D STR ELL SPGXH WHT CANPLAS</t>
  </si>
  <si>
    <t>192564 PVC WHT 4" 22.5D STR ELL SPGXH WHT CANPLAS</t>
  </si>
  <si>
    <t>192566 PVC WHT 6" 22.5D STR ELL SPGXH WHT CANPLAS</t>
  </si>
  <si>
    <t>8"x22 1/2D PVC DWV ELBOW SPxH SCH40 FAB</t>
  </si>
  <si>
    <t>10"x22 1/2D PVC DWV ELBOWSPxH SCH40 FAB</t>
  </si>
  <si>
    <t>12"x22 1/2D PVC DWV ELBOWSPxH SCH40 FAB</t>
  </si>
  <si>
    <t>14"x22 1/2D PVC DWV ELBOWSPxH SCH40 FAB</t>
  </si>
  <si>
    <t>16"x22 1/2D PVC DWV ELBOWSPxH SCH40 FAB</t>
  </si>
  <si>
    <t>18"x22 1/2D PVC DWV ELBOWSPxH SCH40 FAB</t>
  </si>
  <si>
    <t>20"x22 1/2D PVC DWV ELBOWSPxH SCH40 FAB</t>
  </si>
  <si>
    <t>24"x22 1/2D PVC DWV ELBOWSPxH SCH40 FAB</t>
  </si>
  <si>
    <t>192501 PVC WHT 1 1/2" 45D ELL LONG TURN HXH WHT CANPLAS</t>
  </si>
  <si>
    <t>192502 PVC WHT 2" 45D ELL LONG TURN HXH WHT CANPLAS</t>
  </si>
  <si>
    <t>192503 PVC WHT 3" 45D ELL LONG TURN HXH WHT CANPLAS</t>
  </si>
  <si>
    <t>192504 PVC WHT 4" 45D ELL LONG TURN HXH WHT CANPLAS</t>
  </si>
  <si>
    <t>8"x45D PVC DWV ELBOW HxH WHITE</t>
  </si>
  <si>
    <t>10"x45D PVC DWV ELBOW HxHWHITE</t>
  </si>
  <si>
    <t>12"x45D PVC DWV ELBOW HxHWHITE</t>
  </si>
  <si>
    <t>10"x45D PVC DWV ELBOW HxHSCH40 FAB</t>
  </si>
  <si>
    <t>12"x45D PVC DWV ELBOW HxHSCH40 FAB</t>
  </si>
  <si>
    <t>14"x45D PVC DWV ELBOW HxHSCH40 FAB</t>
  </si>
  <si>
    <t>16"x45D PVC DWV ELBOW HxHSCH40 FAB</t>
  </si>
  <si>
    <t>18"x45D PVC DWV ELBOW HxHSCH40 FAB</t>
  </si>
  <si>
    <t>20"x45D PVC DWV ELBOW HxHSCH40 FAB</t>
  </si>
  <si>
    <t>24"x45D PVC DWV ELBOW HxHSCH40 FAB</t>
  </si>
  <si>
    <t>192506 PVC WHT 6" 45D ELL HXH WHT CANPLAS</t>
  </si>
  <si>
    <t>192401 PVC WHT 1 1/2" 45D STR ELL LONG TURN SPGXH WHT</t>
  </si>
  <si>
    <t>192402 PVC WHT 2" 45D STR ELL LONG TURN SPGXH WHT</t>
  </si>
  <si>
    <t>192403 PVC WHT 3" 45D STR ELL LONG TURN SPGXH WHT</t>
  </si>
  <si>
    <t>192404 PVC WHT 4" 45D STR ELL LONG TURN SPGXH WHT</t>
  </si>
  <si>
    <t>8"x45D PVC DWV ELBOW SPxHWHITE</t>
  </si>
  <si>
    <t>10"x45D PVC DWV ELBOW SPxH WHITE</t>
  </si>
  <si>
    <t>10"x45D PVC DWV ELBOW SPxH SCH40 FAB</t>
  </si>
  <si>
    <t>12"x45D PVC DWV ELBOW SPxH SCH40 FAB</t>
  </si>
  <si>
    <t>14"x45D PVC DWV ELBOW SPxH SCH40 FAB</t>
  </si>
  <si>
    <t>16"x45D PVC DWV ELBOW SPxH SCH40 FAB</t>
  </si>
  <si>
    <t>18"x45D PVC DWV ELBOW SPxH SCH40 FAB</t>
  </si>
  <si>
    <t>20"x45D PVC DWV ELBOW SPxH SCH40 FAB</t>
  </si>
  <si>
    <t>24"x45D PVC DWV ELBOW SPxH SCH40 FAB</t>
  </si>
  <si>
    <t>192406 PVC WHT 6" 45D STR ELL LONG TURN SPGXH WHT</t>
  </si>
  <si>
    <t>192601 PVC WHT 1 1/2" 60D ELL HXH WHT CANPLAS</t>
  </si>
  <si>
    <t>192604 PVC WHT 4" 60D ELL HXH WHT CANPLAS</t>
  </si>
  <si>
    <t>192602L</t>
  </si>
  <si>
    <t>192602L PVC WHT 2" 60D ELL LONG TURN HXH WHT CANPLAS</t>
  </si>
  <si>
    <t>192603L</t>
  </si>
  <si>
    <t>192603L PVC WHT 3" 60D ELL LONG TURN HXH WHT CANPLAS</t>
  </si>
  <si>
    <t>192221 PVC WHT 2X1 1/2" 90D ELL HXH WHT CANPLAS</t>
  </si>
  <si>
    <t>192251L</t>
  </si>
  <si>
    <t>192251L PVC WHT 1 1/2" 90D ELL LONG TURN HXH WHT CANPLAS</t>
  </si>
  <si>
    <t>192252L</t>
  </si>
  <si>
    <t>192252L PVC WHT 2" 90D ELL LONG TURN HXH WHT CANPLAS</t>
  </si>
  <si>
    <t>192253L</t>
  </si>
  <si>
    <t>192253L PVC WHT 3" 90D ELL LONG TURN HXH WHT CANPLAS</t>
  </si>
  <si>
    <t>192254L</t>
  </si>
  <si>
    <t>192254L PVC WHT 4" 90D ELL LONG TURN HXH WHT CANPLAS</t>
  </si>
  <si>
    <t>192256 PVC WHT 6" 90D ELL HXH WHT CANPLAS</t>
  </si>
  <si>
    <t>8"x90D PVC DWV ELBOW HxH WHITE</t>
  </si>
  <si>
    <t>10"x90D PVC DWV ELBOW HxHWHITE</t>
  </si>
  <si>
    <t>12"x90D PVC DWV ELBOW HxHWHITE</t>
  </si>
  <si>
    <t>10"x90D PVC DWV ELBOW HxHSCH40 FAB</t>
  </si>
  <si>
    <t>12"x90D PVC DWV ELBOW HxHSCH40 FAB</t>
  </si>
  <si>
    <t>14"x90D PVC DWV ELBOW HxHSCH40 FAB</t>
  </si>
  <si>
    <t>16"x90D PVC DWV ELBOW HxHSCH40 FAB</t>
  </si>
  <si>
    <t>18"x90D PVC DWV ELBOW HxHSCH40 FAB</t>
  </si>
  <si>
    <t>20"x90D PVC DWV ELBOW HxHSCH40 FAB</t>
  </si>
  <si>
    <t>24"x90D PVC DWV ELBOW HxHSCH40 FAB</t>
  </si>
  <si>
    <t>192451L</t>
  </si>
  <si>
    <t>192451L PVC WHT 1 1/2" 90D STR ELL SPGXH WHT CANPLAS</t>
  </si>
  <si>
    <t>192452L</t>
  </si>
  <si>
    <t>192452L PVC WHT 2" 90D STR ELL SPGXH WHT CANPLAS</t>
  </si>
  <si>
    <t>192453L</t>
  </si>
  <si>
    <t>192453L PVC WHT 3" 90D STR ELL SPGXH WHT CANPLAS</t>
  </si>
  <si>
    <t>192454L</t>
  </si>
  <si>
    <t>192454L PVC WHT 4" 90D STR ELL SPGXH WHT CANPLAS</t>
  </si>
  <si>
    <t>192456 PVC WHT 6" 90D STR ELL SPGXH WHT CANPLAS</t>
  </si>
  <si>
    <t>8"x90D PVC DWV ELBOW SPxHWHITE</t>
  </si>
  <si>
    <t>10"x90D PVC DWV ELBOW SPxH WHITE</t>
  </si>
  <si>
    <t>12"x90D PVC DWV ELBOW SPxH WHITE</t>
  </si>
  <si>
    <t>10"x90D PVC DWV ELBOW SPxH SCH40 FAB</t>
  </si>
  <si>
    <t>12"x90D PVC DWV ELBOW SPxH SCH40 FAB</t>
  </si>
  <si>
    <t>14"x90D PVC DWV ELBOW SPxH SCH40 FAB</t>
  </si>
  <si>
    <t>16"x90D PVC DWV ELBOW SPxH SCH40 FAB</t>
  </si>
  <si>
    <t>18"x90D PVC DWV ELBOW SPxH SCH40 FAB</t>
  </si>
  <si>
    <t>20"x90D PVC DWV ELBOW SPxH SCH40 FAB</t>
  </si>
  <si>
    <t>24"x90D PVC DWV ELBOW SPxH SCH40 FAB</t>
  </si>
  <si>
    <t>192276 PVC WHT 1 1/2" 90D ELL LONG SWP HXH WHT CANPLAS</t>
  </si>
  <si>
    <t>192277 PVC WHT 2" 90D ELL LONG SWP HXH WHT CANPLAS</t>
  </si>
  <si>
    <t>192278 PVC WHT 3" 90D ELL LONG SWP HXH WHT CANPLAS</t>
  </si>
  <si>
    <t>192279 PVC WHT 4" 90D ELL LONG SWP HXH WHT CANPLAS</t>
  </si>
  <si>
    <t>195276 PVC WHT 1 1/2" 90D STR SAN ELL LONG TURN SWP</t>
  </si>
  <si>
    <t>195277 PVC WHT 2" 90D STR SAN ELL LONG TURN SWP SPGXH</t>
  </si>
  <si>
    <t>195278 PVC WHT 3" 90D STR SAN ELL LONG TURN SWP SPGXH</t>
  </si>
  <si>
    <t>192201 PVC WHT 1 1/2" 90D VENT ELL HXH WHT</t>
  </si>
  <si>
    <t>192202 PVC WHT 2" 90D VENT ELL HXH WHT CANPLAS</t>
  </si>
  <si>
    <t>192203 PVC WHT 3" 90D VENT ELL HXH WHT CANPLAS</t>
  </si>
  <si>
    <t>192245 PVC WHT 3X3X2" 90D ELL 2"LOW HEEL HXHXH WHT</t>
  </si>
  <si>
    <t>192249 PVC WHT 4X4X2" 90D ELL 2"LOW HEEL HXHXH WHT</t>
  </si>
  <si>
    <t>192248 PVC WHT 3X3X2" 90D ELL 2"LOW HEEL HXHXSPG WHT</t>
  </si>
  <si>
    <t>192301L</t>
  </si>
  <si>
    <t>192301L PVC WHT 1 1/2" WYE HXHXH WHT CANPLAS</t>
  </si>
  <si>
    <t>192302L</t>
  </si>
  <si>
    <t>192302L PVC WHT 2" WYE HXHXH WHT CANPLAS</t>
  </si>
  <si>
    <t>192303L</t>
  </si>
  <si>
    <t>192303L PVC WHT 3" WYE HXHXH WHT CANPLAS</t>
  </si>
  <si>
    <t>192304L</t>
  </si>
  <si>
    <t>192304L PVC WHT 4" WYE HXHXH WHT CANPLAS</t>
  </si>
  <si>
    <t>192306 PVC WHT 6" WYE HXHXH WHT CANPLAS</t>
  </si>
  <si>
    <t>8" PVC DWV WYE HxHxH WHITE</t>
  </si>
  <si>
    <t>10" PVC DWV WYE HxHxH WHITE</t>
  </si>
  <si>
    <t>12" PVC DWV WYE HxHxH WHITE</t>
  </si>
  <si>
    <t>10" PVC DWV WYE HxHxH SCH40 FAB</t>
  </si>
  <si>
    <t>12" PVC DWV WYE HxHxH SCH40 FAB</t>
  </si>
  <si>
    <t>14" PVC DWV WYE HxHxH SCH40 FAB</t>
  </si>
  <si>
    <t>16" PVC DWV WYE HxHxH SCH40 FAB</t>
  </si>
  <si>
    <t>18" PVC DWV WYE HxHxH SCH40 FAB</t>
  </si>
  <si>
    <t>20" PVC DWV WYE HxHxH SCH40 FAB</t>
  </si>
  <si>
    <t>24" PVC DWV WYE HxHxH SCH40 FAB</t>
  </si>
  <si>
    <t>192324 PVC WHT 2X1 1/2X1 1/2" WYE HXHXH WHT CANPLAS</t>
  </si>
  <si>
    <t>192325L</t>
  </si>
  <si>
    <t>192325L PVC WHT 2X2X1 1/2" WYE HXHXH WHT CANPLAS</t>
  </si>
  <si>
    <t>192331L</t>
  </si>
  <si>
    <t>192331L PVC WHT 3X3X1 1/2" WYE HXHXH WHT CANPLAS</t>
  </si>
  <si>
    <t>192326L</t>
  </si>
  <si>
    <t>192326L PVC WHT 3X3X2" WYE HXHXH WHT CANPLAS</t>
  </si>
  <si>
    <t>192328L</t>
  </si>
  <si>
    <t>192328L PVC WHT 4X4X2" WYE HXHXH WHT CANPLAS</t>
  </si>
  <si>
    <t>192327L</t>
  </si>
  <si>
    <t>192327L PVC WHT 4X4X3" WYE HXHXH WHT CANPLAS</t>
  </si>
  <si>
    <t>192343 PVC WHT 6X6X3" WYE HXHXH WHT CANPLAS</t>
  </si>
  <si>
    <t>192344 PVC WHT 6X6X4" WYE HXHXH WHT CANPLAS</t>
  </si>
  <si>
    <t>8"x4" PVC DWV WYE HxHxH WHITE</t>
  </si>
  <si>
    <t>8"x6" PVC DWV RED. WYE HxHxH WHITE</t>
  </si>
  <si>
    <t>12"x6" PVC DWV RED. WYE HxHxH WHITE</t>
  </si>
  <si>
    <t>10"x4" PVC DWV WYE HxHxH SCH40 FAB</t>
  </si>
  <si>
    <t>10"x6" PVC DWV WYE HxHxH SCH40 FAB</t>
  </si>
  <si>
    <t>10"x8" PVC DWV WYE HxHxH SCH40 FAB</t>
  </si>
  <si>
    <t>12"x4" PVC DWV WYE HxHxH SCH40 FAB</t>
  </si>
  <si>
    <t>12"x6" PVC DWV WYE HxHxH SCH40 FAB</t>
  </si>
  <si>
    <t>12"x8" PVC DWV WYE HxHxH SCH40 FAB</t>
  </si>
  <si>
    <t>12"x10" PVC DWV WYE HxHxHSCH40 FAB</t>
  </si>
  <si>
    <t>14"x4" PVC DWV WYE HxHxH SCH40 FAB</t>
  </si>
  <si>
    <t>14"x6" PVC DWV WYE HxHxH SCH40 FAB</t>
  </si>
  <si>
    <t>14"x8" PVC DWV WYE HxHxH SCH40 FAB</t>
  </si>
  <si>
    <t>14"x10" PVC DWV WYE HxHxHSCH40 FAB</t>
  </si>
  <si>
    <t>14"x12" PVC DWV WYE HxHxHSCH40 FAB</t>
  </si>
  <si>
    <t>16"x4" PVC DWV WYE HxHxH SCH40 FAB</t>
  </si>
  <si>
    <t>16"x6" PVC DWV WYE HxHxH SCH40 FAB</t>
  </si>
  <si>
    <t>16"x8" PVC DWV WYE HxHxH SCH40 FAB</t>
  </si>
  <si>
    <t>16"x10" PVC DWV WYE HxHxHSCH40 FAB</t>
  </si>
  <si>
    <t>16"x12" PVC DWV WYE HxHxHSCH40 FAB</t>
  </si>
  <si>
    <t>16"x14" PVC DWV WYE HxHxHSCH40 FAB</t>
  </si>
  <si>
    <t>18"x4" PVC DWV WYE HxHxH SCH40 FAB</t>
  </si>
  <si>
    <t>18"x6" PVC DWV WYE HxHxH SCH40 FAB</t>
  </si>
  <si>
    <t>18"x8" PVC DWV WYE HxHxH SCH40 FAB</t>
  </si>
  <si>
    <t>18"x10" PVC DWV WYE HxHxHSCH40 FAB</t>
  </si>
  <si>
    <t>18"x12" PVC DWV WYE HxHxHSCH40 FAB</t>
  </si>
  <si>
    <t>18"x14" PVC DWV WYE HxHxHSCH40 FAB</t>
  </si>
  <si>
    <t>18"x16" PVC DWV WYE HxHxHSCH40 FAB</t>
  </si>
  <si>
    <t>20"x4" PVC DWV WYE HxHxH SCH40 FAB</t>
  </si>
  <si>
    <t>20"x6" PVC DWV WYE HxHxH SCH40 FAB</t>
  </si>
  <si>
    <t>20"x8" PVC DWV WYE HxHxH SCH40 FAB</t>
  </si>
  <si>
    <t>20"x10" PVC DWV WYE HxHxHSCH40 FAB</t>
  </si>
  <si>
    <t>20"x12" PVC DWV WYE HxHxHSCH40 FAB</t>
  </si>
  <si>
    <t>20"x14" PVC DWV WYE HxHxHSCH40 FAB</t>
  </si>
  <si>
    <t>20"x16" PVC DWV WYE HxHxHSCH40 FAB</t>
  </si>
  <si>
    <t>20"x18" PVC DWV WYE HxHxHSCH40 FAB</t>
  </si>
  <si>
    <t>24"x4" PVC DWV WYE HxHxH SCH40 FAB</t>
  </si>
  <si>
    <t>24"x6" PVC DWV WYE HxHxH SCH40 FAB</t>
  </si>
  <si>
    <t>24"x8" PVC DWV WYE HxHxH SCH40 FAB</t>
  </si>
  <si>
    <t>24"x10" PVC DWV WYE HxHxHSCH40 FAB</t>
  </si>
  <si>
    <t>24"x12" PVC DWV WYE HxHxHSCH40 FAB</t>
  </si>
  <si>
    <t>24"x14" PVC DWV WYE HxHxHSCH40 FAB</t>
  </si>
  <si>
    <t>24"x16" PVC DWV WYE HxHxHSCH40 FAB</t>
  </si>
  <si>
    <t>24"x18" PVC DWV WYE HxHxHSCH40 FAB</t>
  </si>
  <si>
    <t>24"x20" PVC DWV WYE HxHxHSCH40 FAB</t>
  </si>
  <si>
    <t>195326L</t>
  </si>
  <si>
    <t>195326L PVC WHT 3X3X2" RED STR WYE SPGXHXH WHT CANPLAS</t>
  </si>
  <si>
    <t>194301 PVC WHT 1 1/2" TEE WYE LONG TURN HXHXHXH WHT</t>
  </si>
  <si>
    <t>194302 PVC WHT 2" TEE WYE LONG TURN HXHXH WHT CANPLAS</t>
  </si>
  <si>
    <t>194303 PVC WHT 3" TEE WYE LONG TURN HXHXH WHT CANPLAS</t>
  </si>
  <si>
    <t>194304 PVC WHT 4" TEE WYE LONG TURN HXHXH WHT CANPLAS</t>
  </si>
  <si>
    <t>6" PVC DWV COMBO WYE HxHxH WHITE</t>
  </si>
  <si>
    <t>8" PVC DWV COMBO WYE HxHxH WHITE</t>
  </si>
  <si>
    <t>10" PVC DWV COMBO WYE HxHxH SCH40 FAB</t>
  </si>
  <si>
    <t>12" PVC DWV COMBO WYE HxHxH SCH40 FAB</t>
  </si>
  <si>
    <t>14" PVC DWV COMBO WYE HxHxH SCH40 FAB</t>
  </si>
  <si>
    <t>16" PVC DWV COMBO WYE HxHxH SCH40 FAB</t>
  </si>
  <si>
    <t>18" PVC DWV COMBO WYE HxHxH SCH40 FAB</t>
  </si>
  <si>
    <t>20" PVC DWV COMBO WYE HxHxH SCH40 FAB</t>
  </si>
  <si>
    <t>24" PVC DWV COMBO WYE HxHxH SCH40 FAB</t>
  </si>
  <si>
    <t>194317 PVC WHT 2X1 1/2X1 1/2X1 1/2" TEE WYE LONG TURN</t>
  </si>
  <si>
    <t>194320 PVC WHT 2X2X1 1/2" TEE WYE LONG TURN HXHXH WHT</t>
  </si>
  <si>
    <t>194326 PVC WHT 3X3X1 1/2" TEE WYE LONG TURN HXHXH WHT</t>
  </si>
  <si>
    <t>194327 PVC WHT 3X3X2" TEE WYE LONG TURN HXHXH WHT</t>
  </si>
  <si>
    <t>194337 PVC WHT 4X4X2" TEE WYE LONG TURN HXHXH WHT</t>
  </si>
  <si>
    <t>194338 PVC WHT 4X4X3" TEE WYE LONG TURN HXHXH WHT</t>
  </si>
  <si>
    <t>8"x4" PVC DWV RED. COMBO WYE HxHxH WHITE</t>
  </si>
  <si>
    <t>8"x6" PVC DWV RED. COMBO WYE HxHxH WHITE</t>
  </si>
  <si>
    <t>10"x4" PVC DWV COMBO WYE HxHxH SCH40 FAB</t>
  </si>
  <si>
    <t>10"x6" PVC DWV COMBO WYE HxHxH SCH40 FAB</t>
  </si>
  <si>
    <t>10"x8" PVC DWV COMBO WYE HxHxH SCH40 FAB</t>
  </si>
  <si>
    <t>12"x4" PVC DWV COMBO WYE HxHxH SCH40 FAB</t>
  </si>
  <si>
    <t>12"x6" PVC DWV COMBO WYE HxHxH SCH40 FAB</t>
  </si>
  <si>
    <t>12"x8" PVC DWV COMBO WYE HxHxH SCH40 FAB</t>
  </si>
  <si>
    <t>12"x10" PVC DWV COMBO WYEHxHxH SCH40 FAB</t>
  </si>
  <si>
    <t>14"x4" PVC DWV COMBO WYE HxHxH SCH40 FAB</t>
  </si>
  <si>
    <t>14"x6" PVC DWV COMBO WYE HxHxH SCH40 FAB</t>
  </si>
  <si>
    <t>14"x8" PVC DWV COMBO WYE HxHxH SCH40 FAB</t>
  </si>
  <si>
    <t>14"x10" PVC DWV COMBO WYEHxHxH SCH40 FAB</t>
  </si>
  <si>
    <t>14"x12" PVC DWV COMBO WYEHxHxH SCH40 FAB</t>
  </si>
  <si>
    <t>16"x4" PVC DWV COMBO WYE HxHxH SCH40 FAB</t>
  </si>
  <si>
    <t>16"x6" PVC DWV COMBO WYE HxHxH SCH40 FAB</t>
  </si>
  <si>
    <t>16"x8" PVC DWV COMBO WYE HxHxH SCH40 FAB</t>
  </si>
  <si>
    <t>16"x10" PVC DWV COMBO WYEHxHxH SCH40 FAB</t>
  </si>
  <si>
    <t>16"x12" PVC DWV COMBO WYEHxHxH SCH40 FAB</t>
  </si>
  <si>
    <t>16"x14" PVC DWV COMBO WYEHxHxH SCH40 FAB</t>
  </si>
  <si>
    <t>18"x4" PVC DWV COMBO WYE HxHxH SCH40 FAB</t>
  </si>
  <si>
    <t>18"x6" PVC DWV COMBO WYE HxHxH SCH40 FAB</t>
  </si>
  <si>
    <t>18"x8" PVC DWV COMBO WYE HxHxH SCH40 FAB</t>
  </si>
  <si>
    <t>18"x10" PVC DWV COMBO WYEHxHxH SCH40 FAB</t>
  </si>
  <si>
    <t>18"x12" PVC DWV COMBO WYEHxHxH SCH40 FAB</t>
  </si>
  <si>
    <t>18"x14" PVC DWV COMBO WYEHxHxH SCH40 FAB</t>
  </si>
  <si>
    <t>18"x16" PVC DWV COMBO WYEHxHxH SCH40 FAB</t>
  </si>
  <si>
    <t>20"x4" PVC DWV COMBO WYE HxHxH SCH40 FAB</t>
  </si>
  <si>
    <t>20"x6" PVC DWV COMBO WYE HxHxH SCH40 FAB</t>
  </si>
  <si>
    <t>20"x8" PVC DWV COMBO WYE HxHxH SCH40 FAB</t>
  </si>
  <si>
    <t>20"x10" PVC DWV COMBO WYEHxHxH SCH40 FAB</t>
  </si>
  <si>
    <t>20"x12" PVC DWV COMBO WYEHxHxH SCH40 FAB</t>
  </si>
  <si>
    <t>20"x14" PVC DWV COMBO WYEHxHxH SCH40 FAB</t>
  </si>
  <si>
    <t>20"x16" PVC DWV COMBO WYEHxHxH SCH40 FAB</t>
  </si>
  <si>
    <t>20"x18" PVC DWV COMBO WYEHxHxH SCH40 FAB</t>
  </si>
  <si>
    <t>24"x4" PVC DWV COMBO WYE HxHxH SCH40 FAB</t>
  </si>
  <si>
    <t>24"x6" PVC DWV COMBO WYE HxHxH SCH40 FAB</t>
  </si>
  <si>
    <t>24"x8" PVC DWV COMBO WYE HxHxH SCH40 FAB</t>
  </si>
  <si>
    <t>24"x10" PVC DWV COMBO WYEHxHxH SCH40 FAB</t>
  </si>
  <si>
    <t>24"x12" PVC DWV COMBO WYEHxHxH SCH40 FAB</t>
  </si>
  <si>
    <t>24"x14" PVC DWV COMBO WYEHxHxH SCH40 FAB</t>
  </si>
  <si>
    <t>24"x16" PVC DWV COMBO WYEHxHxH SCH40 FAB</t>
  </si>
  <si>
    <t>24"x18" PVC DWV COMBO WYEHxHxH SCH40 FAB</t>
  </si>
  <si>
    <t>24"x20" PVC DWV COMBO WYEHxHxH SCH40 FAB</t>
  </si>
  <si>
    <t>192352 PVC WHT 2" DBL WYE HXHXH WHT CANPLAS</t>
  </si>
  <si>
    <t>4" PVC DWV DOUBLE WYE HxHxHxH WHITE</t>
  </si>
  <si>
    <t>6" PVC DWV DOUBLE WYE HxHxHxH WHITE</t>
  </si>
  <si>
    <t>8" PVC DWV DOUBLE WYE HxHxHxH SCH40 FAB</t>
  </si>
  <si>
    <t>10" PVC DWV DOUBLE WYE HxHxHxH SCH40 FAB</t>
  </si>
  <si>
    <t>12" PVC DWV DOUBLE WYE HxHxHxH SCH40 FAB</t>
  </si>
  <si>
    <t>14" PVC DWV DOUBLE WYE HxHxHxH SCH40 FAB</t>
  </si>
  <si>
    <t>16" PVC DWV DOUBLE WYE HxHxHxH SCH40 WHITE FAB</t>
  </si>
  <si>
    <t>18" PVC DWV DOUBLE WYE HxHxHxH SCH40 FAB</t>
  </si>
  <si>
    <t>20" PVC DWV DOUBLE WYE HxHxHxH SCH40 FAB</t>
  </si>
  <si>
    <t>24" PVC DWV DOUBLE WYE HxHxHxH SCH40 FAB</t>
  </si>
  <si>
    <t>6"x4" PVC DWV RED. DBL. WYE HxHxHxH WHITE</t>
  </si>
  <si>
    <t>8"x4" PVC DWV DOUBLE WYE HxHxHxH SCH40 FAB</t>
  </si>
  <si>
    <t>8"x6" PVC DWV DOUBLE WYE HxHxHxH SCH40 FAB</t>
  </si>
  <si>
    <t>10"x4" PVC DWV DOUBLE WYEHxHxHxH SCH40 FAB</t>
  </si>
  <si>
    <t>10"x6" PVC DWV DOUBLE WYEHxHxHxH SCH40 FAB</t>
  </si>
  <si>
    <t>10"x8" PVC DWV DOUBLE WYEHxHxHxH SCH40 FAB</t>
  </si>
  <si>
    <t>12"x4" PVC DWV DOUBLE WYEHxHxHxH SCH40 FAB</t>
  </si>
  <si>
    <t>12"x6" PVC DWV DOUBLE WYEHxHxHxH SCH40 FAB</t>
  </si>
  <si>
    <t>12"x8" PVC DWV DOUBLE WYEHxHxHxH SCH40 FAB</t>
  </si>
  <si>
    <t>12"x10" PVC DWV DOUBLE WYE HxHxHxH SCH40 FAB</t>
  </si>
  <si>
    <t>14"x4" PVC DWV DOUBLE WYEHxHxHxH SCH40 FAB</t>
  </si>
  <si>
    <t>14"x6" PVC DWV DOUBLE WYEHxHxHxH SCH40 FAB</t>
  </si>
  <si>
    <t>14"x8" PVC DWV DOUBLE WYEHxHxHxH SCH40 FAB</t>
  </si>
  <si>
    <t>14"x10" PVC DWV DOUBLE WYE HxHxHxH SCH40 FAB</t>
  </si>
  <si>
    <t>14"x12" PVC DWV DOUBLE WYE HxHxHxH SCH40 FAB</t>
  </si>
  <si>
    <t>16"x4" PVC DWV DOUBLE WYEHxHxHxH SCH40 FAB</t>
  </si>
  <si>
    <t>16"x6" PVC DWV DOUBLE WYEHxHxHxH SCH40 FAB</t>
  </si>
  <si>
    <t>16"x8" PVC DWV DOUBLE WYEHxHxHxH SCH40 FAB</t>
  </si>
  <si>
    <t>16"x10" PVC DWV DOUBLE WYE HxHxHxH SCH40 FAB</t>
  </si>
  <si>
    <t>16"x12" PVC DWV DOUBLE WYE HxHxHxH SCH40 FAB</t>
  </si>
  <si>
    <t>16"x14" PVC DWV DOUBLE WYE HxHxHxH SCH40 FAB</t>
  </si>
  <si>
    <t>18"x4" PVC DWV DOUBLE WYEHxHxHxH SCH40 FAB</t>
  </si>
  <si>
    <t>18"x6" PVC DWV DOUBLE WYEHxHxHxH SCH40 FAB</t>
  </si>
  <si>
    <t>18"x8" PVC DWV DOUBLE WYEHxHxHxH SCH40 FAB</t>
  </si>
  <si>
    <t>18"x10" PVC DWV DOUBLE WYE HxHxHxH SCH40 FAB</t>
  </si>
  <si>
    <t>18"x12" PVC DWV DOUBLE WYE HxHxHxH SCH40 FAB</t>
  </si>
  <si>
    <t>18"x14" PVC DWV DOUBLE WYE HxHxHxH SCH40 FAB</t>
  </si>
  <si>
    <t>18"x16" PVC DWV DOUBLE WYE HxHxHxH SCH40 FAB</t>
  </si>
  <si>
    <t>20"x4" PVC DWV DOUBLE WYEHxHxHxH SCH40 FAB</t>
  </si>
  <si>
    <t>20"x6" PVC DWV DOUBLE WYEHxHxHxH SCH40 FAB</t>
  </si>
  <si>
    <t>20"x8" PVC DWV DOUBLE WYEHxHxHxH SCH40 FAB</t>
  </si>
  <si>
    <t>20"x10" PVC DWV DOUBLE WYE HxHxHxH SCH40 FAB</t>
  </si>
  <si>
    <t>20"x12" PVC DWV DOUBLE WYE HxHxHxH SCH40 FAB</t>
  </si>
  <si>
    <t>20"x14" PVC DWV DOUBLE WYE HxHxHxH SCH40 FAB</t>
  </si>
  <si>
    <t>20"x16" PVC DWV DOUBLE WYE HxHxHxH SCH40 FAB</t>
  </si>
  <si>
    <t>20"x18" PVC DWV DOUBLE WYE HxHxHxH SCH40 FAB</t>
  </si>
  <si>
    <t>24"x4" PVC DWV DOUBLE WYEHxHxHxH SCH40 FAB</t>
  </si>
  <si>
    <t>24"x6" PVC DWV DOUBLE WYEHxHxHxH SCH40 FAB</t>
  </si>
  <si>
    <t>24"x8" PVC DWV DOUBLE WYEHxHxHxH SCH40 FAB</t>
  </si>
  <si>
    <t>24"x10" PVC DWV DOUBLE WYE HxHxHxH SCH40 FAB</t>
  </si>
  <si>
    <t>24"x12" PVC DWV DOUBLE WYE HxHxHxH SCH40 FAB</t>
  </si>
  <si>
    <t>24"x14" PVC DWV DOUBLE WYE HxHxHxH SCH40 FAB</t>
  </si>
  <si>
    <t>24"x16" PVC DWV DOUBLE WYE HxHxHxH SCH40 FAB</t>
  </si>
  <si>
    <t>24"x18" PVC DWV DOUBLE WYE HxHxHxH SCH40 FAB</t>
  </si>
  <si>
    <t>24"x20" PVC DWV DOUBLE WYE HxHxHxH SCH40 FAB</t>
  </si>
  <si>
    <t>194153 PVC WHT 2" DBL FIXT FTG HXHXHXH WHT CANPLAS</t>
  </si>
  <si>
    <t>194149 PVC WHT 2X1 1/2X1 1/2X1 1/2" DBL FIXT FTG HXHXHXH</t>
  </si>
  <si>
    <t>194154 PVC WHT 3" DBL FIXT FTG HXHXHXH WHT CANPLAS</t>
  </si>
  <si>
    <t>194155 PVC WHT 3" DBL FIXT FTG HXHXHXH WHT CANPLAS</t>
  </si>
  <si>
    <t>192263 PVC WHT 3" 90D ELL HXHXH WHT CANPLAS</t>
  </si>
  <si>
    <t>192151L</t>
  </si>
  <si>
    <t>192151L PVC WHT 1 1/2" SAN TEE HXHXH WHT CANPLAS</t>
  </si>
  <si>
    <t>192152L</t>
  </si>
  <si>
    <t>192152L PVC WHT 2" SAN TEE HXHXH WHT CANPLAS</t>
  </si>
  <si>
    <t>192154L</t>
  </si>
  <si>
    <t>192154L PVC WHT 4" SAN TEE HXHXH WHT CANPLAS</t>
  </si>
  <si>
    <t>192156 PVC WHT 6" SAN TEE HXHXH WHT CANPLAS</t>
  </si>
  <si>
    <t>8" PVC DWV SAN TEE HxHxH WHITE</t>
  </si>
  <si>
    <t>10" PVC DWV SAN TEE HxHxHSCH40 FAB</t>
  </si>
  <si>
    <t>12" PVC DWV SAN TEE HxHxHSCH40 FAB</t>
  </si>
  <si>
    <t>14" PVC DWV SAN TEE HxHxHSCH40 FAB</t>
  </si>
  <si>
    <t>16" PVC DWV SAN TEE HxHxHSCH40 FAB</t>
  </si>
  <si>
    <t>18" PVC DWV SAN TEE HxHxHSCH40 FAB</t>
  </si>
  <si>
    <t>20" PVC DWV SAN TEE HxHxHSCH40 FAB</t>
  </si>
  <si>
    <t>24" PVC DWV SAN TEE HxHxHSCH40 FAB</t>
  </si>
  <si>
    <t>192128L</t>
  </si>
  <si>
    <t>192128L PVC WHT 2X1 1/2X1 1/2" SAN TEE HXHXH WHT CANPLAS</t>
  </si>
  <si>
    <t>192127L</t>
  </si>
  <si>
    <t>192127L PVC WHT 2X1 1/2X2" SAN TEE HXHXH WHT CANPLAS</t>
  </si>
  <si>
    <t>192126L</t>
  </si>
  <si>
    <t>192126L PVC WHT 2X2X1 1/2" SAN TEE HXHXH WHT CANPLAS</t>
  </si>
  <si>
    <t>192131 PVC WHT 3X3X1 1/2" SAN TEE HXHXH WHT CANPLAS</t>
  </si>
  <si>
    <t>192130L</t>
  </si>
  <si>
    <t>192130L PVC WHT 3X3X2" SAN TEE HXHXH WHT CANPLAS</t>
  </si>
  <si>
    <t>192134 PVC WHT 4X4X2" SAN TEE HXHXH WHT CANPLAS</t>
  </si>
  <si>
    <t>192136 PVC WHT 4X4X3" SAN TEE HXHXH WHT CANPLAS</t>
  </si>
  <si>
    <t>192144 PVC WHT 6X6X4" SAN TEE HXHXH WHT CANPLAS</t>
  </si>
  <si>
    <t>8"x4" PVC DWV SAN TEE HxHxH SCH40 FAB</t>
  </si>
  <si>
    <t>8"x6" PVC DWV SAN TEE HxHxH SCH40 FAB</t>
  </si>
  <si>
    <t>10"x4" PVC DWV SAN TEE HxHxH SCH40 FAB</t>
  </si>
  <si>
    <t>10"x6" PVC DWV SAN TEE HxHxH SCH40 FAB</t>
  </si>
  <si>
    <t>10"x8" PVC DWV SAN TEE HxHxH SCH40 FAB</t>
  </si>
  <si>
    <t>12"x4" PVC DWV SAN TEE HxHxH SCH40 FAB</t>
  </si>
  <si>
    <t>12"x6" PVC DWV SAN TEE HxHxH SCH40 FAB</t>
  </si>
  <si>
    <t>12"x8" PVC DWV SAN TEE HxHxH SCH40 FAB</t>
  </si>
  <si>
    <t>12"x10" PVC DWV SAN TEE HxHxH SCH40 FAB</t>
  </si>
  <si>
    <t>14"x4" PVC DWV SAN TEE HxHxH SCH40 FAB</t>
  </si>
  <si>
    <t>14"x6" PVC DWV SAN TEE HxHxH SCH40 FAB</t>
  </si>
  <si>
    <t>14"x8" PVC DWV SAN TEE HxHxH SCH40 FAB</t>
  </si>
  <si>
    <t>14"x10" PVC DWV SAN TEE HxHxH SCH40 FAB</t>
  </si>
  <si>
    <t>14"x12" PVC DWV SAN TEE HxHxH SCH40 FAB</t>
  </si>
  <si>
    <t>16"x4" PVC DWV SAN TEE HxHxH SCH40 FAB</t>
  </si>
  <si>
    <t>16"x6" PVC DWV SAN TEE HxHxH SCH40 FAB</t>
  </si>
  <si>
    <t>16"x8" PVC DWV SAN TEE HxHxH SCH40 FAB</t>
  </si>
  <si>
    <t>16"x10" PVC DWV SAN TEE HxHxH SCH40 FAB</t>
  </si>
  <si>
    <t>16"x12" PVC DWV SAN TEE HxHxH SCH40 FAB</t>
  </si>
  <si>
    <t>16"x14" PVC DWV SAN TEE HxHxH SCH40 FAB</t>
  </si>
  <si>
    <t>18"x6" PVC DWV SAN TEE HxHxH SCH40 FAB</t>
  </si>
  <si>
    <t>18"x8" PVC DWV SAN TEE HxHxH SCH40 FAB</t>
  </si>
  <si>
    <t>18"x10" PVC DWV SAN TEE HxHxH SCH40 FAB</t>
  </si>
  <si>
    <t>18"x12" PVC DWV SAN TEE HxHxH SCH40 FAB</t>
  </si>
  <si>
    <t>18"x14" PVC DWV SAN TEE HxHxH SCH40 FAB</t>
  </si>
  <si>
    <t>18"x16" PVC DWV SAN TEE HxHxH SCH40 FAB</t>
  </si>
  <si>
    <t>20"x4" PVC DWV SAN TEE HxHxH SCH40 FAB</t>
  </si>
  <si>
    <t>20"x6" PVC DWV SAN TEE HxHxH SCH40 FAB</t>
  </si>
  <si>
    <t>20"x8" PVC DWV SAN TEE HxHxH SCH40 FAB</t>
  </si>
  <si>
    <t>20"x10" PVC DWV SAN TEE HxHxH SCH40 FAB</t>
  </si>
  <si>
    <t>20"x12" PVC DWV SAN TEE HxHxH SCH40 FAB</t>
  </si>
  <si>
    <t>20"x14" PVC DWV SAN TEE HxHxH SCH40 FAB</t>
  </si>
  <si>
    <t>20"x16" PVC DWV SAN TEE HxHxH SCH40 FAB</t>
  </si>
  <si>
    <t>20"x18" PVC DWV SAN TEE HxHxH SCH40 FAB</t>
  </si>
  <si>
    <t>24"x4" PVC DWV SAN TEE HxHxH SCH40 FAB</t>
  </si>
  <si>
    <t>24"x6" PVC DWV SAN TEE HxHxH SCH40 FAB</t>
  </si>
  <si>
    <t>24"x8" PVC DWV SAN TEE HxHxH SCH40 FAB</t>
  </si>
  <si>
    <t>24"x10" PVC DWV SAN TEE HxHxH SCH40 FAB</t>
  </si>
  <si>
    <t>24"x12" PVC DWV SAN TEE HxHxH SCH40 FAB</t>
  </si>
  <si>
    <t>24"x14" PVC DWV SAN TEE HxHxH SCH40 FAB</t>
  </si>
  <si>
    <t>24"x16" PVC DWV SAN TEE HxHxH SCH40 FAB</t>
  </si>
  <si>
    <t>24"x18" PVC DWV SAN TEE HxHxH SCH40 FAB</t>
  </si>
  <si>
    <t>24"x20" PVC DWV SAN TEE HxHxH SCH40 FAB</t>
  </si>
  <si>
    <t>195151L</t>
  </si>
  <si>
    <t>195151L PVC WHT 1 1/2" STR SAN TEE SPGXHXH WHT CANPLAS</t>
  </si>
  <si>
    <t>195152L</t>
  </si>
  <si>
    <t>195152L PVC WHT 2" STR SAN TEE SPGXHXH WHT CANPLAS</t>
  </si>
  <si>
    <t>195153 PVC WHT 3" STR SAN TEE SPGXHXH WHT CANPLAS</t>
  </si>
  <si>
    <t>195154L</t>
  </si>
  <si>
    <t>195154L PVC WHT 4" STR SAN TEE SPGXHXH WHT CANPLAS</t>
  </si>
  <si>
    <t>195156 PVC WHT 6" STR SAN TEE SPGXHXH WHT CANPLAS</t>
  </si>
  <si>
    <t>195128L</t>
  </si>
  <si>
    <t>195128L PVC WHT 2X1 1/2X1 1/2" STR SAN TEE SPGXHXH WHT</t>
  </si>
  <si>
    <t>195127L</t>
  </si>
  <si>
    <t>195127L PVC WHT 2X1 1/2X2" STR SAN TEE SPGXHXH WHT</t>
  </si>
  <si>
    <t>195126L</t>
  </si>
  <si>
    <t>195126L PVC WHT 2X2X1 1/2" STR SAN TEE SPGXHXH WHT</t>
  </si>
  <si>
    <t>195130L</t>
  </si>
  <si>
    <t>195130L PVC WHT 3X3X2" STR SAN TEE SPGXHXH WHT CANPLAS</t>
  </si>
  <si>
    <t>192147L</t>
  </si>
  <si>
    <t>192147L PVC WHT 3X3X3X1 1/2" SAN TEE LEFT IN HXHXHXH WHT</t>
  </si>
  <si>
    <t>192148L</t>
  </si>
  <si>
    <t>192148L PVC WHT 3X3X3X2" SAN TEE LEFT IN HXHXHXH WHT</t>
  </si>
  <si>
    <t>192147R</t>
  </si>
  <si>
    <t>192147R PVC WHT 3X3X3X1 1/2" SAN TEE RIGHT IN HXHXHXH WHT</t>
  </si>
  <si>
    <t>192148R</t>
  </si>
  <si>
    <t>192148R PVC WHT 3X3X3X2" SAN TEE RIGHT IN HXHXHXH WHT</t>
  </si>
  <si>
    <t>192187 PVC WHT 1 1/2" DBL SAN TEE HXHXHXH WHT CANPLAS</t>
  </si>
  <si>
    <t>192186 PVC WHT 2" DBL SAN TEE HXHXHXH WHT CANPLAS</t>
  </si>
  <si>
    <t>192184 PVC WHT 3" DBL SAN TEE HXHXHXH WHT CANPLAS</t>
  </si>
  <si>
    <t>192185 PVC WHT 4" DBL SAN TEE HXHXHXH WHT CANPLAS</t>
  </si>
  <si>
    <t>192188 PVC WHT 2X2X1 1/2X1 1/2" DBL SAN TEE HXHXHXH WHT</t>
  </si>
  <si>
    <t>192189 PVC WHT 3X3X1 1/2X1 1/2" DBL SAN TEE HXHXHXH WHT</t>
  </si>
  <si>
    <t>192181 PVC WHT 3X3X2X2" DBL SAN TEE HXHXHXH WHT CANPLAS</t>
  </si>
  <si>
    <t>192101 PVC WHT 1 1/2" VENT TEE HXHXH WHT CANPLAS</t>
  </si>
  <si>
    <t>192102 PVC WHT 2" VENT TEE HXHXHWHT CANPLAS</t>
  </si>
  <si>
    <t>4" PVC DWV TEE HxHxH WHITE</t>
  </si>
  <si>
    <t>6" PVC DWV TEE HxHxH WHITE</t>
  </si>
  <si>
    <t>8" PVC DWV TEE HxHxH WHITE</t>
  </si>
  <si>
    <t>10" PVC DWV TEE HxHxH WHITE</t>
  </si>
  <si>
    <t>12" PVC DWV TEE HxHxH WHITE</t>
  </si>
  <si>
    <t>10" PVC DWV TEE HxHxH SCH40 FAB</t>
  </si>
  <si>
    <t>12" PVC DWV TEE HxHxH SCH40 FAB</t>
  </si>
  <si>
    <t>14" PVC DWV TEE HxHxH SCH40 FAB</t>
  </si>
  <si>
    <t>16" PVC DWV TEE HxHxH SCH40 FAB</t>
  </si>
  <si>
    <t>18" PVC DWV TEE HxHxH SCH40 FAB</t>
  </si>
  <si>
    <t>20" PVC DWV TEE HxHxH SCH40 FAB</t>
  </si>
  <si>
    <t>24" PVC DWV TEE HxHxH SCH40 FAB</t>
  </si>
  <si>
    <t>192144L</t>
  </si>
  <si>
    <t>6"x4" PVC DWV RED. TEE HxHxH WHITE</t>
  </si>
  <si>
    <t>8"x4" PVC DWV RED. TEE HxHxH WHITE</t>
  </si>
  <si>
    <t>8"x6" PVC DWV RED. TEE HxHxH WHITE</t>
  </si>
  <si>
    <t>10"x4" PVC DWV RED. TEE HxHxH WHITE</t>
  </si>
  <si>
    <t>10"x6" PVC DWV RED. TEE HxHxH WHITE</t>
  </si>
  <si>
    <t>10"x8" PVC DWV RED. TEE HxHxH WHITE</t>
  </si>
  <si>
    <t>12"x4" PVC DWV RED. TEE HxHxH WHITE</t>
  </si>
  <si>
    <t>12"x6" PVC DWV RED. TEE HxHxH WHITE</t>
  </si>
  <si>
    <t>12"x8" PVC DWV RED. TEE HxHxH WHITE</t>
  </si>
  <si>
    <t>12"x10" PVC DWV RED. TEE HxHxH WHITE</t>
  </si>
  <si>
    <t>10"x4" PVC DWV TEE HxHxH SCH40 FAB</t>
  </si>
  <si>
    <t>10"x6" PVC DWV TEE HxHxH SCH40 FAB</t>
  </si>
  <si>
    <t>10"x8" PVC DWV TEE HxHxH SCH40 FAB</t>
  </si>
  <si>
    <t>12"x4" PVC DWV TEE HxHxH SCH40 FAB</t>
  </si>
  <si>
    <t>12"x6" PVC DWV TEE HxHxH SCH40 FAB</t>
  </si>
  <si>
    <t>12"x8" PVC DWV TEE HxHxH SCH40 FAB</t>
  </si>
  <si>
    <t>12"x10" PVC DWV TEE HxHxHSCH40 FAB</t>
  </si>
  <si>
    <t>14"x4" PVC DWV TEE HxHxH SCH40 FAB</t>
  </si>
  <si>
    <t>14"x6" PVC DWV TEE HxHxH SCH40 FAB</t>
  </si>
  <si>
    <t>14"x8" PVC DWV TEE HxHxH SCH40 FAB</t>
  </si>
  <si>
    <t>14"x10" PVC DWV TEE HxHxHSCH40 FAB</t>
  </si>
  <si>
    <t>14"x12" PVC DWV TEE HxHxHSCH40 FAB</t>
  </si>
  <si>
    <t>16"x4" PVC DWV TEE HxHxH SCH40 FAB</t>
  </si>
  <si>
    <t>16"x6" PVC DWV TEE HxHxH SCH40 FAB</t>
  </si>
  <si>
    <t>16"x8" PVC DWV TEE HxHxH SCH40 FAB</t>
  </si>
  <si>
    <t>16"x10" PVC DWV TEE HxHxHSCH40 FAB</t>
  </si>
  <si>
    <t>16"x12" PVC DWV TEE HxHxHSCH40 FAB</t>
  </si>
  <si>
    <t>16"x14" PVC DWV TEE HxHxHSCH40 FAB</t>
  </si>
  <si>
    <t>18"x10" PVC DWV TEE HxHxHSCH40 FAB</t>
  </si>
  <si>
    <t>18"x12" PVC DWV TEE HxHxHSCH40 FAB</t>
  </si>
  <si>
    <t>18"x14" PVC DWV TEE HxHxHSCH40 FAB</t>
  </si>
  <si>
    <t>18"x16" PVC DWV TEE HxHxHSCH40 FAB</t>
  </si>
  <si>
    <t>20"x4" PVC DWV TEE HxHxH SCH40 FAB</t>
  </si>
  <si>
    <t>20"x6" PVC DWV TEE HxHxH SCH40 FAB</t>
  </si>
  <si>
    <t>20"x8" PVC DWV TEE HxHxH SCH40 FAB</t>
  </si>
  <si>
    <t>20"x10" PVC DWV TEE HxHxHSCH40 FAB</t>
  </si>
  <si>
    <t>20"x12" PVC DWV TEE HxHxHSCH40 FAB</t>
  </si>
  <si>
    <t>20"x14" PVC DWV TEE HxHxHSCH40 FAB</t>
  </si>
  <si>
    <t>20"x16" PVC DWV TEE HxHxHSCH40 FAB</t>
  </si>
  <si>
    <t>20"x18" PVC DWV TEE HxHxHSCH40 FAB</t>
  </si>
  <si>
    <t>24"x4" PVC DWV TEE HxHxH SCH40 FAB</t>
  </si>
  <si>
    <t>24"x6" PVC DWV TEE HxHxH SCH40 FAB</t>
  </si>
  <si>
    <t>24"x8" PVC DWV TEE HxHxH SCH40 FAB</t>
  </si>
  <si>
    <t>24"x10" PVC DWV TEE HxHxHSCH40 FAB</t>
  </si>
  <si>
    <t>24"x12" PVC DWV TEE HxHxHSCH40 FAB</t>
  </si>
  <si>
    <t>24"x14" PVC DWV TEE HxHxHSCH40 FAB</t>
  </si>
  <si>
    <t>24"x16" PVC DWV TEE HxHxHSCH40 FAB</t>
  </si>
  <si>
    <t>24"x18" PVC DWV TEE HxHxHSCH40 FAB</t>
  </si>
  <si>
    <t>24"x20" PVC DWV TEE HxHxHSCH40 FAB</t>
  </si>
  <si>
    <t>193750 PVC WHT 3X1 1/2" HOR TWINTEE HXHXH WHT CANPLAS</t>
  </si>
  <si>
    <t>6" PVC DWV CROSS HxHxHxH SCH40 FAB</t>
  </si>
  <si>
    <t>8" PVC DWV CROSS HxHxHxH SCH40 FAB</t>
  </si>
  <si>
    <t>10" PVC DWV CROSS HxHxHxHSCH40 FAB</t>
  </si>
  <si>
    <t>12" PVC DWV CROSS HxHxHxHSCH40 FAB</t>
  </si>
  <si>
    <t>14" PVC DWV CROSS HxHxHxHSCH40 FAB</t>
  </si>
  <si>
    <t>16" PVC DWV CROSS HxHxHxHSCH40 FAB</t>
  </si>
  <si>
    <t>18" PVC DWV CROSS HxHxHxHSCH40 FAB</t>
  </si>
  <si>
    <t>20" PVC DWV CROSS HxHxHxHSCH40 FAB</t>
  </si>
  <si>
    <t>24" PVC DWV CROSS HxHxHxHSCH40 FAB</t>
  </si>
  <si>
    <t>6"x4" PVC DWV CROSS HxHxHxH SCH40 FAB</t>
  </si>
  <si>
    <t>8"x4" PVC DWV CROSS HxHxHxH SCH40 FAB</t>
  </si>
  <si>
    <t>8"x6" PVC DWV CROSS HxHxHxH SCH40 FAB</t>
  </si>
  <si>
    <t>10"x4" PVC DWV CROSS HxHxHxH SCH40 FAB</t>
  </si>
  <si>
    <t>10"x6" PVC DWV CROSS HxHxHxH SCH40 FAB</t>
  </si>
  <si>
    <t>10"x8" PVC DWV CROSS HxHxHxH SCH40 FAB</t>
  </si>
  <si>
    <t>12"x4" PVC DWV CROSS HxHxHxH SCH40 FAB</t>
  </si>
  <si>
    <t>12"x6" PVC DWV CROSS HxHxHxH SCH40 FAB</t>
  </si>
  <si>
    <t>12"x8" PVC DWV CROSS HxHxHxH SCH40 FAB</t>
  </si>
  <si>
    <t>12"x10" PVC DWV CROSS HxHxHxH SCH40 FAB</t>
  </si>
  <si>
    <t>14"x4" PVC DWV CROSS HxHxHxH SCH40 FAB</t>
  </si>
  <si>
    <t>14"x6" PVC DWV CROSS HxHxHxH SCH40 FAB</t>
  </si>
  <si>
    <t>14"x8" PVC DWV CROSS HxHxHxH SCH40 FAB</t>
  </si>
  <si>
    <t>14"x10" PVC DWV CROSS HxHxHxH SCH40 FAB</t>
  </si>
  <si>
    <t>14"x12" PVC DWV CROSS HxHxHxH SCH40 FAB</t>
  </si>
  <si>
    <t>16"x4" PVC DWV CROSS HxHxHxH SCH40 FAB</t>
  </si>
  <si>
    <t>16"x6" PVC DWV CROSS HxHxHxH SCH40 FAB</t>
  </si>
  <si>
    <t>16"x8" PVC DWV CROSS HxHxHxH SCH40 FAB</t>
  </si>
  <si>
    <t>16"x10" PVC DWV CROSS HxHxHxH SCH40 FAB</t>
  </si>
  <si>
    <t>16"x12" PVC DWV CROSS HxHxHxH SCH40 FAB</t>
  </si>
  <si>
    <t>16"x14" PVC DWV CROSS HxHxHxH SCH40 FAB</t>
  </si>
  <si>
    <t>18"x4" PVC DWV CROSS HxHxHxH SCH40 FAB</t>
  </si>
  <si>
    <t>18"x6" PVC DWV CROSS HxHxHxH SCH40 FAB</t>
  </si>
  <si>
    <t>18"x8" PVC DWV CROSS HxHxHxH SCH40 FAB</t>
  </si>
  <si>
    <t>18"x10" PVC DWV CROSS HxHxHxH SCH40 FAB</t>
  </si>
  <si>
    <t>18"x12" PVC DWV CROSS HxHxHxH SCH40 FAB</t>
  </si>
  <si>
    <t>18"x14" PVC DWV CROSS HxHxHxH SCH40 FAB</t>
  </si>
  <si>
    <t>18"x16" PVC DWV CROSS HxHxHxH SCH40 FAB</t>
  </si>
  <si>
    <t>20"x4" PVC DWV CROSS HxHxHxH SCH40 FAB</t>
  </si>
  <si>
    <t>20"x6" PVC DWV CROSS HxHxHxH SCH40 FAB</t>
  </si>
  <si>
    <t>20"x8" PVC DWV CROSS HxHxHxH SCH40 FAB</t>
  </si>
  <si>
    <t>20"x10" PVC DWV CROSS HxHxHxH SCH40 FAB</t>
  </si>
  <si>
    <t>20"x12" PVC DWV CROSS HxHxHxH SCH40 FAB</t>
  </si>
  <si>
    <t>20"x14" PVC DWV CROSS HxHxHxH SCH40 FAB</t>
  </si>
  <si>
    <t>20"x16" PVC DWV CROSS HxHxHxH SCH40 FAB</t>
  </si>
  <si>
    <t>20"x18" PVC DWV CROSS HxHxHxH SCH40 FAB</t>
  </si>
  <si>
    <t>24"x4" PVC DWV CROSS HxHxHxH SCH40 FAB</t>
  </si>
  <si>
    <t>24"x6" PVC DWV CROSS HxHxHxH SCH40 FAB</t>
  </si>
  <si>
    <t>24"x8" PVC DWV CROSS HxHxHxH SCH40 FAB</t>
  </si>
  <si>
    <t>24"x10" PVC DWV CROSS HxHxHxH SCH40 FAB</t>
  </si>
  <si>
    <t>24"x12" PVC DWV CROSS HxHxHxH SCH40 FAB</t>
  </si>
  <si>
    <t>24"x14" PVC DWV CROSS HxHxHxH SCH40 FAB</t>
  </si>
  <si>
    <t>24"x16" PVC DWV CROSS HxHxHxH SCH40 FAB</t>
  </si>
  <si>
    <t>24"x18" PVC DWV CROSS HxHxHxH SCH40 FAB</t>
  </si>
  <si>
    <t>24"x20" PVC DWV CROSS HxHxHxH SCH40 FAB</t>
  </si>
  <si>
    <t>192114S</t>
  </si>
  <si>
    <t>192114S PVC WHT 1 1/2" C/O TEE HXHXFPT WHT CANPLAS</t>
  </si>
  <si>
    <t>192115S</t>
  </si>
  <si>
    <t>192115S PVC WHT 2" C/O TEE HXHXFPT WHT CANPLAS</t>
  </si>
  <si>
    <t>192116S</t>
  </si>
  <si>
    <t>192116S PVC WHT 3" C/O TEE HXHXFPT WHT CANPLAS</t>
  </si>
  <si>
    <t>192117S</t>
  </si>
  <si>
    <t>192117S PVC WHT 4" C/O TEE HXHXFPT WHT CANPLAS</t>
  </si>
  <si>
    <t>192114AS</t>
  </si>
  <si>
    <t>192114AS PVC WHT 1 1/2" C/O TEE W/THRD PLUG HXHXFPT WHT</t>
  </si>
  <si>
    <t>192115AS</t>
  </si>
  <si>
    <t>192115AS PVC WHT 2" C/O TEE W/ THRD PLUG HXHXFPT WHT</t>
  </si>
  <si>
    <t>192116AS</t>
  </si>
  <si>
    <t>192116AS PVC WHT 3" C/O TEE W/ THRD PLUG HXHXFPT WHT</t>
  </si>
  <si>
    <t>192117AS</t>
  </si>
  <si>
    <t>192117AS PVC WHT 4" C/O TEE W/ THRD PLUG HXHXFPT WHT</t>
  </si>
  <si>
    <t>192118A</t>
  </si>
  <si>
    <t>192118A PVC WHT 6" C/O TEE W/ THRD PLUG HXHXFPT WHT</t>
  </si>
  <si>
    <t>192898T</t>
  </si>
  <si>
    <t>8" PVC DWV C/O TEE W/ PLUG HxHxFPT WHITE</t>
  </si>
  <si>
    <t>10" PVC DWV C/O TEE W/ PLUG HxHxFPT SCH40 FAB</t>
  </si>
  <si>
    <t>12" PVC DWV C/O TEE W/ PLUG HxHxFPT SCH40 FAB</t>
  </si>
  <si>
    <t>10"x4" PVC DWV C/O TEE W/PLUG HxHxFPT SCH40 FAB</t>
  </si>
  <si>
    <t>10"x6" PVC DWV C/O TEE W/PLUG HxHxFPT SCH40 FAB</t>
  </si>
  <si>
    <t>10"x8" PVC DWV C/O TEE W/PLUG HxHxFPT SCH40 FAB</t>
  </si>
  <si>
    <t>12"x4" PVC DWV C/O TEE W/PLUG HxHxFPT SCH40 FAB</t>
  </si>
  <si>
    <t>12"x6" PVC DWV C/O TEE W/PLUG HxHxFPT SCH40 FAB</t>
  </si>
  <si>
    <t>12"x8" PVC DWV C/O TEE W/PLUG HxHxFPT SCH40 FAB</t>
  </si>
  <si>
    <t>12"x10" PVC DWV C/O TEE W/ PLUG HxHxFPT SCH40 FAB</t>
  </si>
  <si>
    <t>14"x4" PVC DWV C/O TEE W/PLUG HxHxFPT SCH40 FAB</t>
  </si>
  <si>
    <t>14"x6" PVC DWV C/O TEE W/PLUG HxHxFPT SCH40 FAB</t>
  </si>
  <si>
    <t>14"x8" PVC DWV C/O TEE W/PLUG HxHxFPT SCH40 FAB</t>
  </si>
  <si>
    <t>14"x10" PVC DWV C/O TEE W/ PLUG HxHxFPT SCH40 FAB</t>
  </si>
  <si>
    <t>14"x12" PVC DWV C/O TEE W/ PLUG HxHxFPT SCH40 FAB</t>
  </si>
  <si>
    <t>16"x4" PVC DWV C/O TEE W/PLUG HxHxFPT SCH40 FAB</t>
  </si>
  <si>
    <t>16"x6" PVC DWV C/O TEE W/PLUG HxHxFPT SCH40 FAB</t>
  </si>
  <si>
    <t>16"x8" PVC DWV C/O TEE W/PLUG HxHxFPT SCH40 FAB</t>
  </si>
  <si>
    <t>16"x10" PVC DWV C/O TEE W/ PLUG HxHxFPT SCH40 FAB</t>
  </si>
  <si>
    <t>16"x12" PVC DWV C/O TEE W/ PLUG HxHxFPT SCH40 FAB</t>
  </si>
  <si>
    <t>18"x8" PVC DWV C/O TEE W/PLUG HxHxFPT WHITE FAB</t>
  </si>
  <si>
    <t>192106A</t>
  </si>
  <si>
    <t>6"x4" PVC DWV RED. C/O TEE W/PLUG HxHxFPT WHITE</t>
  </si>
  <si>
    <t>192108A</t>
  </si>
  <si>
    <t>8"x4" PVC DWV C/O TEE W/ PLUG HxHxFPT WHITE</t>
  </si>
  <si>
    <t>192124A</t>
  </si>
  <si>
    <t>8"x6" PVC DWV RED. C/O TEE W/PLUG HxHxFPT WHITE</t>
  </si>
  <si>
    <t>193723 PVC WHT 3" 2WAY C/O HXHXHWHT CANPLAS</t>
  </si>
  <si>
    <t>193724 PVC WHT 4" 2WAY C/O HXHXHWHT CANPLAS</t>
  </si>
  <si>
    <t>6" PVC DWV 2 WAY C/O TEE HxHxH WHITE</t>
  </si>
  <si>
    <t>193201S</t>
  </si>
  <si>
    <t>193201S PVC WHT 1 1/2" PTRAP SOL WELD HXH WHT CANPLAS</t>
  </si>
  <si>
    <t>193202 PVC WHT 2" PTRAP SOL WELDHXH WHT CANPLAS</t>
  </si>
  <si>
    <t>193203 PVC WHT 3" PTRAP SOL WELDHXH WHT CANPLAS</t>
  </si>
  <si>
    <t>193204 PVC WHT 4" PTRAP SOL WELDHXH WHT CANPLAS</t>
  </si>
  <si>
    <t>193206 PVC WHT 6" PTRAP SOL WELDHXH WHT CANPLAS</t>
  </si>
  <si>
    <t>193201AS</t>
  </si>
  <si>
    <t>193201AS PVC WHT 1 1/2" PTRAP SOL WELD HXH</t>
  </si>
  <si>
    <t>193201-1S</t>
  </si>
  <si>
    <t>193201-1S PVC WHT 1 1/2" U BEND HXHWHT CANPLAS</t>
  </si>
  <si>
    <t>193202-1</t>
  </si>
  <si>
    <t>193202-1 PVC WHT 2" U BEND HXH WHTCANPLAS</t>
  </si>
  <si>
    <t>193203-1</t>
  </si>
  <si>
    <t>193203-1 PVC WHT 3" U BEND HXH WHTCANPLAS</t>
  </si>
  <si>
    <t>193204-1</t>
  </si>
  <si>
    <t>193204-1 PVC WHT 4" U BEND HXH WHTCANPLAS</t>
  </si>
  <si>
    <t>193206-1</t>
  </si>
  <si>
    <t>193206-1 PVC WHT 6" U BEND HXH WHTCANPLAS</t>
  </si>
  <si>
    <t>193211N</t>
  </si>
  <si>
    <t>193211N PVC WHT 1 1/2" PTRAP UNION HXH WHT CANPLAS</t>
  </si>
  <si>
    <t>193212E</t>
  </si>
  <si>
    <t>193212E PVC WHT 2" PTRAP UNION HXH WHT CANPLAS</t>
  </si>
  <si>
    <t>193221A</t>
  </si>
  <si>
    <t>193221A PVC WHT 1 1/2" PTRAP UNION LA PATTERN HXSLIP</t>
  </si>
  <si>
    <t>193231A</t>
  </si>
  <si>
    <t>193231A PVC WHT 1 1/2" PERMOSEAL PTRAP UNION W/ C/O HXH</t>
  </si>
  <si>
    <t>193231E</t>
  </si>
  <si>
    <t>193231E PVC WHT 1 1/2" PERMOSEAL PTRAP UNION HXH WHT</t>
  </si>
  <si>
    <t>192851A</t>
  </si>
  <si>
    <t>192851A PVC WHT 1 1/2" TRAP ADPT W/WSHR &amp; NUT HXSLIP WHT</t>
  </si>
  <si>
    <t>192860A</t>
  </si>
  <si>
    <t>192860A PVC WHT 1 1/2X1 1/4" TRAPADPT W/WSHR &amp; NUT HXSLIP</t>
  </si>
  <si>
    <t>192853A</t>
  </si>
  <si>
    <t>192853A PVC WHT 1 1/2" TRAP ADPT W/1PC NUT HXSLIP WHT</t>
  </si>
  <si>
    <t>192855A</t>
  </si>
  <si>
    <t>192855A PVC WHT 1 1/4X1 1/2" TRAPADPT W/1PC NUT HXSLIP WHT</t>
  </si>
  <si>
    <t>192801A</t>
  </si>
  <si>
    <t>192801A PVC WHT 1 1/2" TRAP ADPT W/WSHR &amp; NUT SPGXSLIP WHT</t>
  </si>
  <si>
    <t>193211Y</t>
  </si>
  <si>
    <t>193211Y PVC WHT 1 1/2X1 1/4" TRAPADPT SPGXSLIP WHT CANPLAS</t>
  </si>
  <si>
    <t>192804A</t>
  </si>
  <si>
    <t>192804A PVC WHT 1 1/2" TRAP ADPT W/1PC NUT SPGXSLIP WHT</t>
  </si>
  <si>
    <t>192806A</t>
  </si>
  <si>
    <t>192806A PVC WHT 1 1/4X1 1/2" TRAPADPT W/1PC NUT SPGXSLIP</t>
  </si>
  <si>
    <t>192801 PVC WHT 1 1/2" TRAP ADPT SPGXSLIP WHT CANPLAS</t>
  </si>
  <si>
    <t>192802 PVC WHT 2" TRAP ADPT SPGXMPT WHT</t>
  </si>
  <si>
    <t>192851 PVC WHT 1 1/2" TRAP ADPT HXMPT WHT CANPLAS</t>
  </si>
  <si>
    <t>192861A</t>
  </si>
  <si>
    <t>192861A PVC WHT 1 1/2" PIPE ADPT W/WSHR &amp; NUT HXSLIP WHT</t>
  </si>
  <si>
    <t>193211-9</t>
  </si>
  <si>
    <t>193211-9 PVC WHT 1 1/2" TRAY PLUG ADPT HXFPT WHT CANPLAS</t>
  </si>
  <si>
    <t>193930 PVC WHT 1 1/4" SLIP JNT NUT FPT WHT CANPLAS</t>
  </si>
  <si>
    <t>193931 PVC WHT 1 1/2" SLIP JNT NUT FPT WHT CANPLAS</t>
  </si>
  <si>
    <t>193604 PVC WHT 4X3" 1PC CLST ST FLNG W/ GUSSETS H WHT</t>
  </si>
  <si>
    <t>193632 PVC WHT 4X3" CLST FLNG W/TSTP H/SPG WHT CANPLAS</t>
  </si>
  <si>
    <t>193633 PVC WHT 4X3" CLST FLNG W/FIXED SLOT H/SPG WHT</t>
  </si>
  <si>
    <t>193603 PVC WHT 4" CLST FLNG FLUSH H WHT CANPLAS</t>
  </si>
  <si>
    <t>193631 PVC WHT 4X3" 1PC CLST FLNG H/SPG WHT CANPLAS</t>
  </si>
  <si>
    <t>193631X</t>
  </si>
  <si>
    <t>193631X PVC WHT 4X3" 1PC CLST FLNG WO/ PIPE STOP H/SPG</t>
  </si>
  <si>
    <t>193631T</t>
  </si>
  <si>
    <t>193631T PVC WHT 4X3" CLST FLNG W/TSTP H/SPG WHT CANPLAS</t>
  </si>
  <si>
    <t>193611M</t>
  </si>
  <si>
    <t>193611M PVC WHT 4" ADJ CLST FLNG METAL H WHT CANPLAS</t>
  </si>
  <si>
    <t>193614M</t>
  </si>
  <si>
    <t>193614M PVC WHT 4X3" ADJ CLST FLNG METAL H WHT CANPLAS</t>
  </si>
  <si>
    <t>193624 PVC WHT 4X3" ADJ CLST FLNG H WHT CANPLAS</t>
  </si>
  <si>
    <t>193612M</t>
  </si>
  <si>
    <t>193612M PVC WHT 4" ADJ CLST FLNG METAL SPG WHT CANPLAS</t>
  </si>
  <si>
    <t>193616M</t>
  </si>
  <si>
    <t>193616M PVC WHT 4X3" ADJ CLST FLNG METAL SPG WHT</t>
  </si>
  <si>
    <t>193617SS</t>
  </si>
  <si>
    <t>193617SS PVC WHT 3" ADJ CLST FLNG SS RING SPG WHT CANPLAS</t>
  </si>
  <si>
    <t>193617M</t>
  </si>
  <si>
    <t>193617M PVC WHT 3" ADJ CLST FLNG METAL SPG WHT CANPLAS</t>
  </si>
  <si>
    <t>193639M</t>
  </si>
  <si>
    <t>193639M PVC WHT 4X3" OFFSET ADJ CLST FLNG METAL H/SPG WHT</t>
  </si>
  <si>
    <t>193639SS</t>
  </si>
  <si>
    <t>193639SS PVC WHT 4X3" OFFSET ADJ CLST FLNG SS RING H/SPG</t>
  </si>
  <si>
    <t>193644 PVC WHT 4X3" OFFSET CLST FLNG H/SPG WHT CANPLAS</t>
  </si>
  <si>
    <t>193103 PVC WHT 4X3" RED CLST ELLSPGXH WHT CANPLAS</t>
  </si>
  <si>
    <t>192223 PVC WHT 4X3" 90D RED CLSTELL HXH WHT CANPLAS</t>
  </si>
  <si>
    <t>193103A</t>
  </si>
  <si>
    <t>193103A PVC WHT 4X3" RED CLST ELLW/ TSTP SPGXH WHT CANPLAS</t>
  </si>
  <si>
    <t>193452 PVC WHT 2" CI ADPT HXSPG WHT CANPLAS</t>
  </si>
  <si>
    <t>193454 PVC WHT 4" CI ADPT HXSPG WHT CANPLAS</t>
  </si>
  <si>
    <t>193464 PVC WHT 3X4" CI ADPT HXSPG WHT CANPLAS</t>
  </si>
  <si>
    <t>193456 PVC WHT 6" CI ADPT HXSPG WHT CANPLAS</t>
  </si>
  <si>
    <t>193420 PVC WHT 1 1/2" CI ADPT NOHUB HXSPG WHT CANPLAS</t>
  </si>
  <si>
    <t>193422 PVC WHT 2" CI ADPT NO HUBHXSPG WHT CANPLAS</t>
  </si>
  <si>
    <t>193423 PVC WHT 3" CI ADPT NO HUBHXSPG WHT CANPLAS</t>
  </si>
  <si>
    <t>193424 PVC WHT 4" CI ADPT NO HUBHXSPG WHT CANPLAS</t>
  </si>
  <si>
    <t>193426 PVC WHT 6" CI ADPT NO HUBHXSPG WHT CANPLAS</t>
  </si>
  <si>
    <t>193036 PVC WHT 4X3" ADPT CPLG SEW TO DWV HXH WHT</t>
  </si>
  <si>
    <t>193035 PVC WHT 6X4" ADPT CPLG SEW TO DWV HXH WHT</t>
  </si>
  <si>
    <t>4" PVC DWV ADAPTER SPxH SCH40xSWR FAB</t>
  </si>
  <si>
    <t>C19D</t>
  </si>
  <si>
    <t>6" PVC DWV ADAPTER SPxH SCH40xSWR FAB</t>
  </si>
  <si>
    <t>8" PVC DWV ADAPTER SPxH SCH40xSWR FAB</t>
  </si>
  <si>
    <t>10" PVC DWV ADAPTER SPxH SCH40xSWR FAB</t>
  </si>
  <si>
    <t>12" PVC DWV ADAPTER SPxH SCH40xSWR FAB</t>
  </si>
  <si>
    <t>18" PVC DWV ADAPTER SPxH SCH40xSWR FAB</t>
  </si>
  <si>
    <t>24" PVC DWV ADAPTER SPxH SCH40xSWR FAB</t>
  </si>
  <si>
    <t>15"x14" PVC DWV ADAPTER SPxH SCH40xSWR FAB</t>
  </si>
  <si>
    <t>16"x15" PVC DWV ADAPTER SPxH SCH40xSWR FAB</t>
  </si>
  <si>
    <t>21"x20" PVC DWV ADAPTER SPxH SCH40xSWR FAB</t>
  </si>
  <si>
    <t>4" PVC DWV ADAPTER SPxH SCH40xCIOD FAB</t>
  </si>
  <si>
    <t>6" PVC DWV ADAPTER SPxH SCH40xCIOD FAB</t>
  </si>
  <si>
    <t>8" PVC DWV ADAPTER SPxH SCH40xCIOD FAB</t>
  </si>
  <si>
    <t>10" PVC DWV ADAPTER SPxH SCH40xCIOD FAB</t>
  </si>
  <si>
    <t>12" PVC DWV ADAPTER SPxH SCH40xCIOD FAB</t>
  </si>
  <si>
    <t>14" PVC DWV ADAPTER SPxH SCH40xCIOD FAB</t>
  </si>
  <si>
    <t>16" PVC DWV ADAPTER SPxH SCH40xCIOD FAB</t>
  </si>
  <si>
    <t>18" PVC DWV ADAPTER SPxH SCH40xCIOD FAB</t>
  </si>
  <si>
    <t>20" PVC DWV ADAPTER SPxH SCH40xCIOD FAB</t>
  </si>
  <si>
    <t>24" PVC DWV ADAPTER SPxH SCH40xCIOD FAB</t>
  </si>
  <si>
    <t>4" PVC DWV ADAPTER HxG SCH40xSWR FAB</t>
  </si>
  <si>
    <t>6" PVC DWV ADAPTER HxG SCH40xSWR FAB</t>
  </si>
  <si>
    <t>8" PVC DWV ADAPTER HxG SCH40xSWR FAB</t>
  </si>
  <si>
    <t>10" PVC DWV ADAPTER HxG SCH40xSWR FAB</t>
  </si>
  <si>
    <t>12" PVC DWV ADAPTER HxG SCH40xSWR FAB</t>
  </si>
  <si>
    <t>18" PVC DWV ADAPTER HxG SCH40xSWR FAB</t>
  </si>
  <si>
    <t>24" PVC DWV ADAPTER HxG SCH40xSWR FAB</t>
  </si>
  <si>
    <t>15"x14" PVC DWV ADAPTER HxG SCH40xSWR FAB</t>
  </si>
  <si>
    <t>16"x15" PVC DWV ADAPTER HxG SCH40xSWR FAB</t>
  </si>
  <si>
    <t>21"x20" PVC DWV ADAPTER HxG SCH40xSWR FAB</t>
  </si>
  <si>
    <t>4" PVC DWV ADAPTER SPxG SCH40xSWR FAB</t>
  </si>
  <si>
    <t>6" PVC DWV ADAPTER SPxG SCH40xSWR FAB</t>
  </si>
  <si>
    <t>8" PVC DWV ADAPTER SPxG SCH40xSWR FAB</t>
  </si>
  <si>
    <t>10" PVC DWV ADAPTER SPxG SCH40xSWR FAB</t>
  </si>
  <si>
    <t>12" PVC DWV ADAPTER SPxG SCH40xSWR FAB</t>
  </si>
  <si>
    <t>18" PVC DWV ADAPTER SPxG SCH40xSWR FAB</t>
  </si>
  <si>
    <t>24" PVC DWV ADAPTER SPxG SCH40xSWR FAB</t>
  </si>
  <si>
    <t>15"x14" PVC DWV ADAPTER SPxG SCH40xSWR FAB</t>
  </si>
  <si>
    <t>16"x15" PVC DWV ADAPTER SPxG SCH40xSWR FAB</t>
  </si>
  <si>
    <t>21"x20" PVC DWV ADAPTER SPxG SCH40xSWR FAB</t>
  </si>
  <si>
    <t>192842 PVC WHT 4X4" ADPT BUSH DWV TO SEW SPGXH WHT</t>
  </si>
  <si>
    <t>192846 PVC WHT 6X6" ADPT BUSH DWV TO SEW SPGXH WHT</t>
  </si>
  <si>
    <t>193863 PVC WHT 3" DRN GRATE SPG WHT CANPLAS</t>
  </si>
  <si>
    <t>193864 PVC WHT 4" DRN GRATE SPG WHT CANPLAS</t>
  </si>
  <si>
    <t>193764 PVC WHT 4" TSTP WHT CANPLAS</t>
  </si>
  <si>
    <t>6"x4" PVC DWV SADDLE TEE HUB SCH40 FAB</t>
  </si>
  <si>
    <t>8"x4" PVC DWV SADDLE TEE HUB SCH40 FAB</t>
  </si>
  <si>
    <t>8"x6" PVC DWV SADDLE TEE HUB SCH40 FAB</t>
  </si>
  <si>
    <t>10"x4" PVC DWV SADDLE TEEHUB SCH40 FAB</t>
  </si>
  <si>
    <t>10"x6" PVC DWV SADDLE TEEHUB SCH40 FAB</t>
  </si>
  <si>
    <t>10"x8" PVC DWV SADDLE TEEHUB SCH40 FAB</t>
  </si>
  <si>
    <t>12"x4" PVC DWV SADDLE TEEHUB SCH40 FAB</t>
  </si>
  <si>
    <t>12"x6" PVC DWV SADDLE TEEHUB SCH40 FAB</t>
  </si>
  <si>
    <t>12"x8" PVC DWV SADDLE TEEHUB SCH40 FAB</t>
  </si>
  <si>
    <t>12"x10" PVC DWV SADDLE TEE HUB SCH40 FAB</t>
  </si>
  <si>
    <t>14"x4" PVC DWV SADDLE TEEHUB SCH40 FAB</t>
  </si>
  <si>
    <t>14"x6" PVC DWV SADDLE TEEHUB SCH40 FAB</t>
  </si>
  <si>
    <t>14"x8" PVC DWV SADDLE TEEHUB SCH40 FAB</t>
  </si>
  <si>
    <t>14"x10" PVC DWV SADDLE TEE HUB SCH40 FAB</t>
  </si>
  <si>
    <t>14"x12" PVC DWV SADDLE TEE HUB SCH40 FAB</t>
  </si>
  <si>
    <t>16"x4" PVC DWV SADDLE TEEHUB SCH40 FAB</t>
  </si>
  <si>
    <t>16"x6" PVC DWV SADDLE TEEHUB SCH40 FAB</t>
  </si>
  <si>
    <t>16"x8" PVC DWV SADDLE TEEHUB SCH40 FAB</t>
  </si>
  <si>
    <t>16"x10" PVC DWV SADDLE TEE HUB SCH40 FAB</t>
  </si>
  <si>
    <t>16"x12" PVC DWV SADDLE TEE HUB SCH40 FAB</t>
  </si>
  <si>
    <t>16"x14" PVC DWV SADDLE TEE HUB SCH40 FAB</t>
  </si>
  <si>
    <t>18"x4" PVC DWV SADDLE TEEHUB SCH40 FAB</t>
  </si>
  <si>
    <t>18"x6" PVC DWV SADDLE TEEHUB SCH40 FAB</t>
  </si>
  <si>
    <t>18"x8" PVC DWV SADDLE TEEHUB SCH40 FAB</t>
  </si>
  <si>
    <t>18"x10" PVC DWV SADDLE TEE HUB SCH40 FAB</t>
  </si>
  <si>
    <t>18"x12" PVC DWV SADDLE TEE HUB SCH40 FAB</t>
  </si>
  <si>
    <t>18"x14" PVC DWV SADDLE TEE HUB SCH40 FAB</t>
  </si>
  <si>
    <t>18"x16" PVC DWV SADDLE TEE HUB SCH40 FAB</t>
  </si>
  <si>
    <t>20"x4" PVC DWV SADDLE TEEHUB SCH40 FAB</t>
  </si>
  <si>
    <t>20"x6" PVC DWV SADDLE TEEHUB SCH40 FAB</t>
  </si>
  <si>
    <t>20"x8" PVC DWV SADDLE TEEHUB SCH40 FAB</t>
  </si>
  <si>
    <t>20"x10" PVC DWV SADDLE TEE HUB SCH40 FAB</t>
  </si>
  <si>
    <t>20"x12" PVC DWV SADDLE TEE HUB SCH40 FAB</t>
  </si>
  <si>
    <t>20"x14" PVC DWV SADDLE TEE HUB SCH40 FAB</t>
  </si>
  <si>
    <t>20"x16" PVC DWV SADDLE TEE HUB SCH40 FAB</t>
  </si>
  <si>
    <t>24"x4" PVC DWV SADDLE TEEHUB SCH40 FAB</t>
  </si>
  <si>
    <t>24"x6" PVC DWV SADDLE TEEHUB SCH40 FAB</t>
  </si>
  <si>
    <t>24"x8" PVC DWV SADDLE TEEHUB SCH40 FAB</t>
  </si>
  <si>
    <t>24"x10" PVC DWV SADDLE TEE HUB SCH40 FAB</t>
  </si>
  <si>
    <t>24"x12" PVC DWV SADDLE TEE HUB SCH40 FAB</t>
  </si>
  <si>
    <t>24"x14" PVC DWV SADDLE TEE HUB SCH40 FAB</t>
  </si>
  <si>
    <t>24"x16" PVC DWV SADDLE TEE HUB SCH40 FAB</t>
  </si>
  <si>
    <t>6"x4" PVC DWV SADDLE WYE HUB SCH40 FAB</t>
  </si>
  <si>
    <t>8"x4" PVC DWV SADDLE WYE HUB SCH40 FAB</t>
  </si>
  <si>
    <t>8"x6" PVC DWV SADDLE WYE HUB SCH40 FAB</t>
  </si>
  <si>
    <t>10"x4" PVC DWV SADDLE WYEHUB SCH40 FAB</t>
  </si>
  <si>
    <t>10"x6" PVC DWV SADDLE WYEHUB SCH40 FAB</t>
  </si>
  <si>
    <t>10"x8" PVC DWV SADDLE WYEHUB SCH40 FAB</t>
  </si>
  <si>
    <t>12"x4" PVC DWV SADDLE WYEHUB SCH40 FAB</t>
  </si>
  <si>
    <t>12"x6" PVC DWV SADDLE WYEHUB SCH40 FAB</t>
  </si>
  <si>
    <t>12"x8" PVC DWV SADDLE WYEHUB SCH40 FAB</t>
  </si>
  <si>
    <t>12"x10" PVC DWV SADDLE WYE HUB SCH40 FAB</t>
  </si>
  <si>
    <t>14"x4" PVC DWV SADDLE WYEHUB SCH40 FAB</t>
  </si>
  <si>
    <t>14"x6" PVC DWV SADDLE WYEHUB SCH40 FAB</t>
  </si>
  <si>
    <t>14"x8" PVC DWV SADDLE WYEHUB SCH40 FAB</t>
  </si>
  <si>
    <t>14"x10" PVC DWV SADDLE WYE HUB SCH40 FAB</t>
  </si>
  <si>
    <t>14"x12" PVC DWV SADDLE WYE HUB SCH40 FAB</t>
  </si>
  <si>
    <t>16"x4" PVC DWV SADDLE WYEHUB SCH40 FAB</t>
  </si>
  <si>
    <t>16"x6" PVC DWV SADDLE WYEHUB SCH40 FAB</t>
  </si>
  <si>
    <t>16"x8" PVC DWV SADDLE WYEHUB SCH40 FAB</t>
  </si>
  <si>
    <t>16"x10" PVC DWV SADDLE WYE HUB SCH40 FAB</t>
  </si>
  <si>
    <t>16"x12" PVC DWV SADDLE WYE HUB SCH40 FAB</t>
  </si>
  <si>
    <t>16"x14" PVC DWV SADDLE WYE HUB SCH40 FAB</t>
  </si>
  <si>
    <t>18"x4" PVC DWV SADDLE WYEHUB SCH40 FAB</t>
  </si>
  <si>
    <t>18"x6" PVC DWV SADDLE WYEHUB SCH40 FAB</t>
  </si>
  <si>
    <t>18"x8" PVC DWV SADDLE WYEHUB SCH40 FAB</t>
  </si>
  <si>
    <t>18"x10" PVC DWV SADDLE WYE HUB SCH40 FAB</t>
  </si>
  <si>
    <t>18"x12" PVC DWV SADDLE WYE HUB SCH40 FAB</t>
  </si>
  <si>
    <t>18"x14" PVC DWV SADDLE WYE HUB SCH40 FAB</t>
  </si>
  <si>
    <t>18"x16" PVC DWV SADDLE WYE HUB SCH40 FAB</t>
  </si>
  <si>
    <t>20"x4" PVC DWV SADDLE WYEHUB SCH40 FAB</t>
  </si>
  <si>
    <t>20"x6" PVC DWV SADDLE WYEHUB SCH40 FAB</t>
  </si>
  <si>
    <t>20"x8" PVC DWV SADDLE WYEHUB SCH40 FAB</t>
  </si>
  <si>
    <t>20"x10" PVC DWV SADDLE WYE HUB SCH40 FAB</t>
  </si>
  <si>
    <t>20"x12" PVC DWV SADDLE WYE HUB SCH40 FAB</t>
  </si>
  <si>
    <t>20"x14" PVC DWV SADDLE WYE HUB SCH40 FAB</t>
  </si>
  <si>
    <t>20"x16" PVC DWV SADDLE WYE HUB SCH40 FAB</t>
  </si>
  <si>
    <t>24"x4" PVC DWV SADDLE WYEHUB SCH40 FAB</t>
  </si>
  <si>
    <t>24"x6" PVC DWV SADDLE WYEHUB SCH40 FAB</t>
  </si>
  <si>
    <t>24"x8" PVC DWV SADDLE WYEHUB SCH40 FAB</t>
  </si>
  <si>
    <t>24"x10" PVC DWV SADDLE WYE HUB SCH40 FAB</t>
  </si>
  <si>
    <t>24"x12" PVC DWV SADDLE WYE HUB SCH40 FAB</t>
  </si>
  <si>
    <t>24"x14" PVC DWV SADDLE WYE HUB SCH40 FAB</t>
  </si>
  <si>
    <t>24"x16" PVC DWV SADDLE WYE HUB SCH40 FAB</t>
  </si>
  <si>
    <t>112002W</t>
  </si>
  <si>
    <t>112002W PP 2" TERM SCREEN SPG WHTCANPLAS</t>
  </si>
  <si>
    <t>C11</t>
  </si>
  <si>
    <t>112003W</t>
  </si>
  <si>
    <t>112003W PP 3" TERM SCREEN SPG WHTCANPLAS</t>
  </si>
  <si>
    <t>112004W</t>
  </si>
  <si>
    <t>112004W PE 4" TERM SCREEN SPG WHTCANPLAS</t>
  </si>
  <si>
    <t>133070GN</t>
  </si>
  <si>
    <t>133070GN PVC 3 -4" VENT CAP GRN CANPLAS</t>
  </si>
  <si>
    <t>133070W</t>
  </si>
  <si>
    <t>133070W PVC WHT 3 -4" VENT CAP WHT CANPLAS</t>
  </si>
  <si>
    <t>133608 SS CLST FLNG REP RING GRYCANPLAS</t>
  </si>
  <si>
    <t>13212011 PVC DWV 1 1/2 -2" AAV H BLK CANPLAS</t>
  </si>
  <si>
    <t>213631WEO</t>
  </si>
  <si>
    <t>213631WEO PVC WHT 4X3" 1PC CLST FLNG W/STOP &amp; EO TSTP</t>
  </si>
  <si>
    <t>212107A</t>
  </si>
  <si>
    <t>212107A PVC WHT 4X3X4" RED C/O TEE W/ PLUG HXHXFPT WHT</t>
  </si>
  <si>
    <t>212107WAT</t>
  </si>
  <si>
    <t>212107WAT PVC WHT 4X3X4" RED C/O TEE W/PLUG&amp;TSTP HXHXFPT</t>
  </si>
  <si>
    <t>212110-1W</t>
  </si>
  <si>
    <t>212110-1W PVC WHT 3" PTRAP PRIMER PORT SPGXFPT WHT CANPLAS</t>
  </si>
  <si>
    <t>212117AW</t>
  </si>
  <si>
    <t>212117AW PVC WHT 4" C/O TEE W/ PLUG HXHXFPT WHT CANPLAS</t>
  </si>
  <si>
    <t>212171AW</t>
  </si>
  <si>
    <t>212171AW PVC WHT 1 1/2" SAN TEE TRAP ADPT HXHXSLIP</t>
  </si>
  <si>
    <t>212191AW</t>
  </si>
  <si>
    <t>212191AW PVC WHT 1 1/2" SAN TEE STRN ADPT HXHXADPT</t>
  </si>
  <si>
    <t>212281AW</t>
  </si>
  <si>
    <t>212281AW PVC WHT 1 1/2" 90D TRAP ADPT W/GSKT&amp;NUT HXSLIP</t>
  </si>
  <si>
    <t>212286AW</t>
  </si>
  <si>
    <t>212286AW PVC WHT 1 1/2X1 1/4" 90D TRAP ADPT HXSLIP</t>
  </si>
  <si>
    <t>212291AW</t>
  </si>
  <si>
    <t>212291AW PVC WHT 1 1/2" 90D SINK STRN ADPT W/GSKT&amp;NUT</t>
  </si>
  <si>
    <t>212321W</t>
  </si>
  <si>
    <t>212321W PVC WHT 1 1/2" APP WYE HXHXSPG WHT CANPLAS</t>
  </si>
  <si>
    <t>212332W</t>
  </si>
  <si>
    <t>212332W PVC WHT 1 1/2X1 1/2X3/4" APP WYE HXHXSPG WHT</t>
  </si>
  <si>
    <t>212333W</t>
  </si>
  <si>
    <t>212333W PVC WHT 1 1/2" APP WYE HXHXSPG WHT CANPLAS</t>
  </si>
  <si>
    <t>213215W</t>
  </si>
  <si>
    <t>213215W PVC DWV 1 1/2" SWIVEL TRAY ADPT W/ GSKT SPGXFPT</t>
  </si>
  <si>
    <t>213467W</t>
  </si>
  <si>
    <t>213467W PVC WHT 3X3X1 1/2" PVC TOCI ADPT HXMPT WHT CANPLAS</t>
  </si>
  <si>
    <t>213627XWSS</t>
  </si>
  <si>
    <t>213627XWSS PVC DWV ADJ CLST FLNG SS RING H GRY CANPLAS</t>
  </si>
  <si>
    <t>213627XWSSEO</t>
  </si>
  <si>
    <t>213627XWSSEO PVC WHT 4X3" ADJ CLST FLNG SS NO STOP EO TSTP H</t>
  </si>
  <si>
    <t>213628MW</t>
  </si>
  <si>
    <t>213628MW PVC WHT 4X3" 45D ADJ CLSTFLNG METAL H WHT CANPLAS</t>
  </si>
  <si>
    <t>213628W</t>
  </si>
  <si>
    <t>213628W PVC WHT 4X3" 45D ADJ CLSTFLNG H WHT CANPLAS</t>
  </si>
  <si>
    <t>213628WSS</t>
  </si>
  <si>
    <t>213628WSS PVC WHT 4X3" 45D ADJ CLSTFLNG SS H WHT CANPLAS</t>
  </si>
  <si>
    <t>213631TW</t>
  </si>
  <si>
    <t>213631TW PVC WHT 4X3" CLST FLNG W/TSTP H/SPG WHT CANPLAS</t>
  </si>
  <si>
    <t>213631XW</t>
  </si>
  <si>
    <t>213631XW PVC WHT 4X3" 1PC CLST FLNG WO/ PIPE STOP H/SPG</t>
  </si>
  <si>
    <t>213639WSS</t>
  </si>
  <si>
    <t>213639WSS PVC WHT 4X3" OFFSET CLST FLNG ADJ SS H WHT CANPLAS</t>
  </si>
  <si>
    <t>213661W</t>
  </si>
  <si>
    <t>213661W PVC WHT 2" ADJ URNL FLNG 4"- 7" CTR SPG WHT</t>
  </si>
  <si>
    <t>213663W</t>
  </si>
  <si>
    <t>213663W PVC WHT 2" ADJ URNL FLNG 4"- 7" CTR H WHT CANPLAS</t>
  </si>
  <si>
    <t>213863W</t>
  </si>
  <si>
    <t>213863W PVC WHT 3" DRN GRATE WHT CANPLAS</t>
  </si>
  <si>
    <t>213864W</t>
  </si>
  <si>
    <t>213864W PVC WHT 4" DRN GRATE WHT CANPLAS</t>
  </si>
  <si>
    <t>219180-002W</t>
  </si>
  <si>
    <t>219180-002W PVC WHT 4X3" CL FLNG SPACER RING 4 HOLE WHT</t>
  </si>
  <si>
    <t>213811AWBC</t>
  </si>
  <si>
    <t>213811AWBC PVC WHT 1 1/2" EXP JOINT TYPE 1 HXH WHT CANPLAS</t>
  </si>
  <si>
    <t>213812AWBC</t>
  </si>
  <si>
    <t>213812AWBC PVC WHT 2" EXP JOINT TYPE1 HXH WHT CANPLAS</t>
  </si>
  <si>
    <t>213813AWBC</t>
  </si>
  <si>
    <t>213813AWBC PVC WHT 3" EXP JOINT TYPE1 HXH WHT CANPLAS</t>
  </si>
  <si>
    <t>213814AWBC</t>
  </si>
  <si>
    <t>213814AWBC PVC WHT 4" EXP JOINT TYPE11 HXH WHT CANPLAS</t>
  </si>
  <si>
    <t>223263WST</t>
  </si>
  <si>
    <t>223263WST PVC WHT 3" BWV DEEP ACC HXH WHT CANPLAS</t>
  </si>
  <si>
    <t>C22</t>
  </si>
  <si>
    <t>223266WST</t>
  </si>
  <si>
    <t>223266WST PVC WHT 6" BWV DEEP ACC HXH WHT CANPLAS</t>
  </si>
  <si>
    <t>223264WST</t>
  </si>
  <si>
    <t>223264WST PVC WHT 4" BWV DEEP ACC HXH WHT CANPLAS</t>
  </si>
  <si>
    <t>223254W</t>
  </si>
  <si>
    <t>223254W PVC WHT 4" BWV FULLPORT WHT CANPLAS</t>
  </si>
  <si>
    <t>223272W</t>
  </si>
  <si>
    <t>223272W PVC WHT 2" BWV W/ 16" SLEEVE &amp; LID HXH WHT</t>
  </si>
  <si>
    <t>223281-2WA</t>
  </si>
  <si>
    <t>223281-2WA PVC WHT 1 1/2" BWV FLAPPER W/ ORING WHT</t>
  </si>
  <si>
    <t>223281-3WA</t>
  </si>
  <si>
    <t>223281-3WA PVC WHT 1 1/2" BWV C/O LID W/ ORING WHT CANPLAS</t>
  </si>
  <si>
    <t>223281W</t>
  </si>
  <si>
    <t>223281W PVC WHT 1 1/2" BWV HXH WHT CANPLAS</t>
  </si>
  <si>
    <t>223282W</t>
  </si>
  <si>
    <t>223282W PVC WHT 2" BWV HXH WHT CANPLAS</t>
  </si>
  <si>
    <t>223283-3WA</t>
  </si>
  <si>
    <t>223283-3WA PVC WHT 3" BWV C/O LID W/ORING WHT CANPLAS</t>
  </si>
  <si>
    <t>223283W</t>
  </si>
  <si>
    <t>223283W PVC WHT 3" BWV HXH WHT CANPLAS</t>
  </si>
  <si>
    <t>223284-3WA</t>
  </si>
  <si>
    <t>223284-3WA PVC WHT 4" BWV C/O LID W/ORING WHT CANPLAS</t>
  </si>
  <si>
    <t>223284W</t>
  </si>
  <si>
    <t>223284W PVC WHT 4" BWV HXH WHT CANPLAS</t>
  </si>
  <si>
    <t>223285W</t>
  </si>
  <si>
    <t>223285W PVC WHT 4" BWV W/ 16" SLEEVE &amp; LID HXH WHT</t>
  </si>
  <si>
    <t>223286-3W</t>
  </si>
  <si>
    <t>223286-3W PVC WHT 6" BWV SLEEVE WHTCANPLAS</t>
  </si>
  <si>
    <t>223286-3WA</t>
  </si>
  <si>
    <t>223286-3WA PVC WHT 6" BWV C/O LID W/ORING WHT CANPLAS</t>
  </si>
  <si>
    <t>223286-6W</t>
  </si>
  <si>
    <t>223286-6W PVC WHT 6" BWV SLEEVE LID10" SDR 35 WHT CANPLAS</t>
  </si>
  <si>
    <t>223286W</t>
  </si>
  <si>
    <t>223286W PVC WHT 6" BWV HXH WHT CANPLAS</t>
  </si>
  <si>
    <t>223287W</t>
  </si>
  <si>
    <t>223287W PVC WHT 3" BWV W/ 16" SLEEVE &amp; LID HXH WHT</t>
  </si>
  <si>
    <t>223288W</t>
  </si>
  <si>
    <t>223288W PVC WHT 4" BWV W/ 16" SLEEVE &amp; LID SEWER HXH</t>
  </si>
  <si>
    <t>223289W</t>
  </si>
  <si>
    <t>223289W PVC WHT 4" BWV HXH WHT CANPLAS</t>
  </si>
  <si>
    <t>223290W</t>
  </si>
  <si>
    <t>223290W PVC WHT 3" BWV W/ 16" SLEEVE &amp; LID HXH WHT</t>
  </si>
  <si>
    <t>223291W</t>
  </si>
  <si>
    <t>223291W PVC WHT 3" BWV HXH WHT CANPLAS</t>
  </si>
  <si>
    <t>223302-2W</t>
  </si>
  <si>
    <t>223302-2W PVC WHT 1 1/2 -2" BWV SLEEVE LID 4" SDR 35 WHT</t>
  </si>
  <si>
    <t>223302W</t>
  </si>
  <si>
    <t>223302W PVC WHT 1 1/2 -2" BWV SLEEVE KIT WHT CANPLAS</t>
  </si>
  <si>
    <t>223303-2W</t>
  </si>
  <si>
    <t>223303-2W PVC WHT 3" BWV SLEEVE LID6" SDR 35 WHT CANPLAS</t>
  </si>
  <si>
    <t>223303W</t>
  </si>
  <si>
    <t>223303W PVC WHT 3" BWV SLEEVE KITWHT CANPLAS</t>
  </si>
  <si>
    <t>223304-2W</t>
  </si>
  <si>
    <t>223304-2W PVC WHT 4" BWV SLEEVE LID8" SDR 35 WHT CANPLAS</t>
  </si>
  <si>
    <t>223304W</t>
  </si>
  <si>
    <t>223304W PVC WHT 4" BWV SLEEVE KITWHT CANPLAS</t>
  </si>
  <si>
    <t>321842 PVC DWV 2" PIPE END DRN GRT GRY CANPLAS</t>
  </si>
  <si>
    <t>C32</t>
  </si>
  <si>
    <t>321842W</t>
  </si>
  <si>
    <t>321842W PVC WHT 2" PIPE END DRN GRT WHT CANPLAS</t>
  </si>
  <si>
    <t>321843 PVC DWV 3" PIPE END DRN GRT GRY CANPLAS</t>
  </si>
  <si>
    <t>321843W</t>
  </si>
  <si>
    <t>321843W PVC WHT 3" PIPE END DRN GRT WHT CANPLAS</t>
  </si>
  <si>
    <t>321844 PVC DWV 4" PIPE END DRN GRT GRY CANPLAS</t>
  </si>
  <si>
    <t>321844W</t>
  </si>
  <si>
    <t>321844W PVC WHT 4" PIPE END DRN GRT WHT CANPLAS</t>
  </si>
  <si>
    <t>321942-2W</t>
  </si>
  <si>
    <t>321942-2W PVC WHT 1 1/2 -2" SHWR DRN GRT GREAT WHITE WHT</t>
  </si>
  <si>
    <t>321957WSS</t>
  </si>
  <si>
    <t>321957WSS PVC WHT 2X3" ECON BOLT SHWR DRN SS STRNR H WHT</t>
  </si>
  <si>
    <t>321982WSS</t>
  </si>
  <si>
    <t>321982WSS PVC WHT 2" ECON SHWR DRN SS STRNR H WHT CANPLAS</t>
  </si>
  <si>
    <t>322042W</t>
  </si>
  <si>
    <t>322042W PVC WHT 2" SHWR DRN FPT PVW WHT STRNR H WHT</t>
  </si>
  <si>
    <t>322042WSS</t>
  </si>
  <si>
    <t>322042WSS PVC WHT 2" SHWR DRN FPT SS STRNR H WHT CANPLAS</t>
  </si>
  <si>
    <t>322242WSS</t>
  </si>
  <si>
    <t>322242WSS PVC WHT 2" TILE SHWR DRN SS ROUND STRNR H WHT</t>
  </si>
  <si>
    <t>322342WSS</t>
  </si>
  <si>
    <t>322342WSS PVC WHT 2" TILE SHWR DRN SS SQ STRNR H WHT CANPLAS</t>
  </si>
  <si>
    <t>322542WSS</t>
  </si>
  <si>
    <t>322542WSS PVC WHT 1 1/2 -2" 45D OFFSET DRN FPT SS GRT H</t>
  </si>
  <si>
    <t>331942-2BN</t>
  </si>
  <si>
    <t>331942-2BN SS 1 1/2 -2" ROUND STRNR GRT NICKEL BN CANPLAS</t>
  </si>
  <si>
    <t>331942-2ORB</t>
  </si>
  <si>
    <t>331942-2ORB SS 1 1/2 -2" ROUND STRNR GRT BRONZE ORB CANPLAS</t>
  </si>
  <si>
    <t>331942-2SS</t>
  </si>
  <si>
    <t>331942-2SS SS 1 1/2 -2" ROUND STRNR GRT SS SS CANPLAS</t>
  </si>
  <si>
    <t>331943-2BN</t>
  </si>
  <si>
    <t>331943-2BN SS 1 1/2 -2" SQ STRNR GRTNICKEL BN CANPLAS</t>
  </si>
  <si>
    <t>331943-2ORB</t>
  </si>
  <si>
    <t>331943-2ORB SS 1 1/2 -2" SQ STRNR GRTBRONZE ORB CANPLAS</t>
  </si>
  <si>
    <t>331943-2SS</t>
  </si>
  <si>
    <t>331943-2SS SS 1 1/2 -2" SQ STRNR GRTSS SS CANPLAS</t>
  </si>
  <si>
    <t>331952SS</t>
  </si>
  <si>
    <t>331952SS BRASS 2" NO CAULK SHWR DRN SS GRT BRS CANPLAS</t>
  </si>
  <si>
    <t>333053BR</t>
  </si>
  <si>
    <t>333053BR BRASS 3" RAISED HD C/O PLUG MPT BRS CANPLAS</t>
  </si>
  <si>
    <t>333054BR</t>
  </si>
  <si>
    <t>333054BR BRASS 4" RAISED HD C/O PLUG MPT BRS CANPLAS</t>
  </si>
  <si>
    <t>333056BR</t>
  </si>
  <si>
    <t>333056BR BRASS 3 1/2" RAISED HD C/O PLUG MPT BRS CANPLAS</t>
  </si>
  <si>
    <t>333058BR</t>
  </si>
  <si>
    <t>333058BR BRASS 6" RAISED HD C/O PLUG MPT BRS CANPLAS</t>
  </si>
  <si>
    <t>333063BR</t>
  </si>
  <si>
    <t>333063BR BRASS 3" REC HD C/O PLUG MPT BRS CANPLAS</t>
  </si>
  <si>
    <t>333064BR</t>
  </si>
  <si>
    <t>333064BR BRASS 4" REC HD C/O PLUG MPT BRS CANPLAS</t>
  </si>
  <si>
    <t>38355NH</t>
  </si>
  <si>
    <t>38355NH FR-PRO ROOF DRN HRDW KIT GRY CANPLAS</t>
  </si>
  <si>
    <t>C38</t>
  </si>
  <si>
    <t>383552 PVC DRAIN 2" RWF</t>
  </si>
  <si>
    <t>383552-2</t>
  </si>
  <si>
    <t>383552-2 FR-PRO 2, 3, 4" ROOF DRN FLASHING COLLAR GRY</t>
  </si>
  <si>
    <t>383552-3</t>
  </si>
  <si>
    <t>383552-3 FR-PRO 2, 3, 4" ROOF DRN DOME STRNR GRY CANPLAS</t>
  </si>
  <si>
    <t>383553 FR-PRO 3" ROOF DRN W/ RING H GRY CANPLAS</t>
  </si>
  <si>
    <t>383554 FR-PRO 4" ROOF DRN W/ RING H GRY CANPLAS</t>
  </si>
  <si>
    <t>383555 FR-PRO 2 -4" ROOF DRN UNDERDECK CLAMP GRY</t>
  </si>
  <si>
    <t>383556 FR-PRO 6" ROOF DRN SPG GRY CANPLAS</t>
  </si>
  <si>
    <t>383556-2</t>
  </si>
  <si>
    <t>383556-2 6 &amp; 8 FLASH RING</t>
  </si>
  <si>
    <t>383556-3</t>
  </si>
  <si>
    <t>383556-3 FR 6"/8" DRAIN STRAINER</t>
  </si>
  <si>
    <t>384750 FR-PRO 3" FLOOR DRN H GRYCANPLAS</t>
  </si>
  <si>
    <t>384750-2</t>
  </si>
  <si>
    <t>384750-2 FR-PRO 3/4" FLOOR DRN STRNR GRY CANPLAS</t>
  </si>
  <si>
    <t>384750-3</t>
  </si>
  <si>
    <t>384750-3 FR-PRO 3/4" FLOOR DRN GRTGRY CANPLAS</t>
  </si>
  <si>
    <t>384751 FR FLOOR DRAIN-ENDURA 4" HUB</t>
  </si>
  <si>
    <t>551222BL</t>
  </si>
  <si>
    <t>551222BL PP STRETCHFIT ROOF FLASHING 1 1/2 -2" BLK</t>
  </si>
  <si>
    <t>C55</t>
  </si>
  <si>
    <t>551224BL</t>
  </si>
  <si>
    <t>551224BL PP STRETCHFIT ROOF FLASHING 3 -4" BLK</t>
  </si>
  <si>
    <t>551233BL</t>
  </si>
  <si>
    <t>551233BL PP MULTIPLE SIZE ROOF FLASHING 1 1/2 -3" BLK</t>
  </si>
  <si>
    <t>755159</t>
  </si>
  <si>
    <t>192451P</t>
  </si>
  <si>
    <t xml:space="preserve">192451P PVC WHT 1 1/2" 90D STR   ELL SPGXH WHT CANPLAS </t>
  </si>
  <si>
    <t>755165</t>
  </si>
  <si>
    <t>192452P</t>
  </si>
  <si>
    <t xml:space="preserve">192452P PVC WHT 2" 90D STR ELL   SPGXH WHT CANPLAS </t>
  </si>
  <si>
    <t>6"x4" PVC DWV EXT BUSHING SPxH WHITE</t>
  </si>
  <si>
    <t>8"x4" PVC DWV EXT BUSHING SPxH WHITE</t>
  </si>
  <si>
    <t>8"x6" PVC DWV EXT BUSHING SPxH WHITE</t>
  </si>
  <si>
    <t>10"x4" PVC DWV EXT BUSHING SPxH WHITE</t>
  </si>
  <si>
    <t>10"x6" PVC DWV EXT BUSHING SPxH WHITE</t>
  </si>
  <si>
    <t>10"x8" PVC DWV EXT BUSHING SPxH WHITE</t>
  </si>
  <si>
    <t>12"x4" PVC DWV EXT BUSHING SPxH WHITE</t>
  </si>
  <si>
    <t>194151P</t>
  </si>
  <si>
    <t>194151P PVC WHT 2X2X1 1/2X1 1/2" DBL FIXT FTG HXH WHT</t>
  </si>
  <si>
    <t>List ID</t>
  </si>
  <si>
    <t>List Name</t>
  </si>
  <si>
    <t>Product Code</t>
  </si>
  <si>
    <t>UPC Code</t>
  </si>
  <si>
    <t>Part Number</t>
  </si>
  <si>
    <t>Product Description</t>
  </si>
  <si>
    <t>Effective Date</t>
  </si>
  <si>
    <t>Unit Weight (Lbs)</t>
  </si>
  <si>
    <t>Carton Bar Code</t>
  </si>
  <si>
    <t>Carton Quantity</t>
  </si>
  <si>
    <t>Skid Quantity</t>
  </si>
  <si>
    <t>US PVC DWV and Specialty Products</t>
  </si>
  <si>
    <t>192153L</t>
  </si>
  <si>
    <t>195153L</t>
  </si>
  <si>
    <t>10662671075205</t>
  </si>
  <si>
    <t>10662671075199</t>
  </si>
  <si>
    <t>551244BL</t>
  </si>
  <si>
    <t>1-1/2" TO 4" 5 in 1 MULTIPLE SIZE ROOF FLASHING BLACK</t>
  </si>
  <si>
    <t>6050BL</t>
  </si>
  <si>
    <t>SQUARE TOP ROOF VENT 50 SQ. IN. BLACK</t>
  </si>
  <si>
    <t>6065BL</t>
  </si>
  <si>
    <t>SLANTBACK ROOF VENT 61 SQ. IN. BLACK</t>
  </si>
  <si>
    <t>6075BL</t>
  </si>
  <si>
    <t>SQUARE TOP ROOF VENT 75 SQ. IN. BLACK</t>
  </si>
  <si>
    <t>646004-00</t>
  </si>
  <si>
    <t>DRYER VENT BLOCK PLATE WH</t>
  </si>
  <si>
    <t>646010-00</t>
  </si>
  <si>
    <t>6" WALL VENT WH</t>
  </si>
  <si>
    <t>BATHROOM SOFFIT EXHAUST VENT WH</t>
  </si>
  <si>
    <t>192153L PVC WHT 3" SAN TEE HXHXH WHT CANPLAS</t>
  </si>
  <si>
    <t>322806 PVC DWV 1 1/2" IND W&amp;O L &amp; T CHROME CP CANPLAS</t>
  </si>
  <si>
    <t>U19-020125-IPSP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</si>
</sst>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F800]dddd\,\ mmmm\ dd\,\ yyyy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165" fontId="13" fillId="33" borderId="12" xfId="42" applyNumberFormat="1" applyFont="1" applyFill="1" applyBorder="1" applyAlignment="1">
      <alignment horizontal="center" vertical="center" wrapText="1"/>
    </xf>
    <xf numFmtId="165" fontId="0" fillId="0" borderId="10" xfId="42" applyNumberFormat="1" applyFont="1" applyFill="1" applyBorder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13" fillId="33" borderId="12" xfId="0" applyNumberFormat="1" applyFon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165" fontId="0" fillId="0" borderId="16" xfId="42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5" fontId="0" fillId="0" borderId="15" xfId="42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4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7109375" style="1" customWidth="1"/>
    <col min="2" max="2" width="35.7109375" style="7" customWidth="1"/>
    <col min="3" max="3" width="10.7109375" style="1" customWidth="1"/>
    <col min="4" max="4" width="23.28515625" style="22" customWidth="1"/>
    <col min="5" max="5" width="10.7109375" style="1" customWidth="1"/>
    <col min="6" max="6" width="65.7109375" style="9" customWidth="1"/>
    <col min="7" max="7" width="12.7109375" style="15" customWidth="1"/>
    <col min="8" max="8" width="15.7109375" style="1" customWidth="1"/>
    <col min="9" max="9" width="12.7109375" style="1" customWidth="1"/>
    <col min="10" max="10" width="10.7109375" style="1" customWidth="1"/>
    <col min="11" max="11" width="20.7109375" style="22" customWidth="1"/>
    <col min="12" max="13" width="10.7109375" style="1" customWidth="1"/>
  </cols>
  <sheetData>
    <row r="1" spans="1:13" s="2" customFormat="1" ht="30" x14ac:dyDescent="0.25">
      <c r="A1" s="4" t="s">
        <v>1340</v>
      </c>
      <c r="B1" s="5" t="s">
        <v>1341</v>
      </c>
      <c r="C1" s="5" t="s">
        <v>1342</v>
      </c>
      <c r="D1" s="20" t="s">
        <v>1343</v>
      </c>
      <c r="E1" s="5" t="s">
        <v>1344</v>
      </c>
      <c r="F1" s="5" t="s">
        <v>1345</v>
      </c>
      <c r="G1" s="13" t="s">
        <v>0</v>
      </c>
      <c r="H1" s="5" t="s">
        <v>1346</v>
      </c>
      <c r="I1" s="5" t="s">
        <v>1347</v>
      </c>
      <c r="J1" s="5" t="s">
        <v>1</v>
      </c>
      <c r="K1" s="20" t="s">
        <v>1348</v>
      </c>
      <c r="L1" s="5" t="s">
        <v>1349</v>
      </c>
      <c r="M1" s="6" t="s">
        <v>1350</v>
      </c>
    </row>
    <row r="2" spans="1:13" x14ac:dyDescent="0.25">
      <c r="A2" s="3" t="s">
        <v>1371</v>
      </c>
      <c r="B2" s="10" t="s">
        <v>1351</v>
      </c>
      <c r="C2" s="3" t="str">
        <f>("755280")</f>
        <v>755280</v>
      </c>
      <c r="D2" s="11" t="str">
        <f>("662671192202")</f>
        <v>662671192202</v>
      </c>
      <c r="E2" s="3">
        <v>193001</v>
      </c>
      <c r="F2" s="8" t="s">
        <v>2</v>
      </c>
      <c r="G2" s="14">
        <v>13.378200927324924</v>
      </c>
      <c r="H2" s="35">
        <v>45689</v>
      </c>
      <c r="I2" s="3">
        <v>8.4000000000000005E-2</v>
      </c>
      <c r="J2" s="3" t="s">
        <v>3</v>
      </c>
      <c r="K2" s="11" t="str">
        <f>("10662671192209")</f>
        <v>10662671192209</v>
      </c>
      <c r="L2" s="3">
        <v>125</v>
      </c>
      <c r="M2" s="3">
        <v>9000</v>
      </c>
    </row>
    <row r="3" spans="1:13" x14ac:dyDescent="0.25">
      <c r="A3" s="3" t="s">
        <v>1371</v>
      </c>
      <c r="B3" s="10" t="s">
        <v>1351</v>
      </c>
      <c r="C3" s="3" t="str">
        <f>("755282")</f>
        <v>755282</v>
      </c>
      <c r="D3" s="11" t="str">
        <f>("662671190352")</f>
        <v>662671190352</v>
      </c>
      <c r="E3" s="3">
        <v>193002</v>
      </c>
      <c r="F3" s="8" t="s">
        <v>4</v>
      </c>
      <c r="G3" s="14">
        <v>18.389531395172821</v>
      </c>
      <c r="H3" s="35">
        <v>45689</v>
      </c>
      <c r="I3" s="3">
        <v>0.11899999999999999</v>
      </c>
      <c r="J3" s="3" t="s">
        <v>3</v>
      </c>
      <c r="K3" s="11" t="str">
        <f>("10662671190359")</f>
        <v>10662671190359</v>
      </c>
      <c r="L3" s="3">
        <v>100</v>
      </c>
      <c r="M3" s="3">
        <v>4800</v>
      </c>
    </row>
    <row r="4" spans="1:13" x14ac:dyDescent="0.25">
      <c r="A4" s="3" t="s">
        <v>1371</v>
      </c>
      <c r="B4" s="10" t="s">
        <v>1351</v>
      </c>
      <c r="C4" s="3" t="str">
        <f>("755284")</f>
        <v>755284</v>
      </c>
      <c r="D4" s="11" t="str">
        <f>("662671190369")</f>
        <v>662671190369</v>
      </c>
      <c r="E4" s="3">
        <v>193003</v>
      </c>
      <c r="F4" s="8" t="s">
        <v>5</v>
      </c>
      <c r="G4" s="14">
        <v>64.180197219806317</v>
      </c>
      <c r="H4" s="35">
        <v>45689</v>
      </c>
      <c r="I4" s="3">
        <v>0.45400000000000001</v>
      </c>
      <c r="J4" s="3" t="s">
        <v>3</v>
      </c>
      <c r="K4" s="11" t="str">
        <f>("10662671190366")</f>
        <v>10662671190366</v>
      </c>
      <c r="L4" s="3">
        <v>20</v>
      </c>
      <c r="M4" s="3">
        <v>1440</v>
      </c>
    </row>
    <row r="5" spans="1:13" x14ac:dyDescent="0.25">
      <c r="A5" s="3" t="s">
        <v>1371</v>
      </c>
      <c r="B5" s="10" t="s">
        <v>1351</v>
      </c>
      <c r="C5" s="3" t="str">
        <f>("755286")</f>
        <v>755286</v>
      </c>
      <c r="D5" s="11" t="str">
        <f>("662671192417")</f>
        <v>662671192417</v>
      </c>
      <c r="E5" s="3">
        <v>193004</v>
      </c>
      <c r="F5" s="8" t="s">
        <v>6</v>
      </c>
      <c r="G5" s="14">
        <v>108.95980514303191</v>
      </c>
      <c r="H5" s="35">
        <v>45689</v>
      </c>
      <c r="I5" s="3">
        <v>0.72299999999999998</v>
      </c>
      <c r="J5" s="3" t="s">
        <v>3</v>
      </c>
      <c r="K5" s="11" t="str">
        <f>("10662671192414")</f>
        <v>10662671192414</v>
      </c>
      <c r="L5" s="3">
        <v>25</v>
      </c>
      <c r="M5" s="3">
        <v>800</v>
      </c>
    </row>
    <row r="6" spans="1:13" x14ac:dyDescent="0.25">
      <c r="A6" s="3" t="s">
        <v>1371</v>
      </c>
      <c r="B6" s="10" t="s">
        <v>1351</v>
      </c>
      <c r="C6" s="3" t="str">
        <f>("755288")</f>
        <v>755288</v>
      </c>
      <c r="D6" s="11" t="str">
        <f>("662671190765")</f>
        <v>662671190765</v>
      </c>
      <c r="E6" s="3">
        <v>193006</v>
      </c>
      <c r="F6" s="8" t="s">
        <v>7</v>
      </c>
      <c r="G6" s="14">
        <v>356.56641989652218</v>
      </c>
      <c r="H6" s="35">
        <v>45689</v>
      </c>
      <c r="I6" s="3">
        <v>2.4049999999999998</v>
      </c>
      <c r="J6" s="3" t="s">
        <v>3</v>
      </c>
      <c r="K6" s="11" t="str">
        <f>("10662671190762")</f>
        <v>10662671190762</v>
      </c>
      <c r="L6" s="3">
        <v>12</v>
      </c>
      <c r="M6" s="3">
        <v>216</v>
      </c>
    </row>
    <row r="7" spans="1:13" x14ac:dyDescent="0.25">
      <c r="A7" s="3" t="s">
        <v>1371</v>
      </c>
      <c r="B7" s="10" t="s">
        <v>1351</v>
      </c>
      <c r="C7" s="3" t="str">
        <f>("626153")</f>
        <v>626153</v>
      </c>
      <c r="D7" s="11" t="str">
        <f>("622454868373")</f>
        <v>622454868373</v>
      </c>
      <c r="E7" s="3">
        <v>193008</v>
      </c>
      <c r="F7" s="8" t="s">
        <v>8</v>
      </c>
      <c r="G7" s="14">
        <v>592.47993022503385</v>
      </c>
      <c r="H7" s="35">
        <v>45689</v>
      </c>
      <c r="I7" s="3">
        <v>4.4509999999999996</v>
      </c>
      <c r="J7" s="3" t="s">
        <v>3</v>
      </c>
      <c r="K7" s="11" t="str">
        <f>("10622454868370")</f>
        <v>10622454868370</v>
      </c>
      <c r="L7" s="3">
        <v>60</v>
      </c>
      <c r="M7" s="3"/>
    </row>
    <row r="8" spans="1:13" x14ac:dyDescent="0.25">
      <c r="A8" s="3" t="s">
        <v>1371</v>
      </c>
      <c r="B8" s="10" t="s">
        <v>1351</v>
      </c>
      <c r="C8" s="3" t="str">
        <f>("294805")</f>
        <v>294805</v>
      </c>
      <c r="D8" s="11" t="str">
        <f>("622454607293")</f>
        <v>622454607293</v>
      </c>
      <c r="E8" s="3"/>
      <c r="F8" s="8" t="s">
        <v>9</v>
      </c>
      <c r="G8" s="14">
        <v>400.24304863678742</v>
      </c>
      <c r="H8" s="35">
        <v>45689</v>
      </c>
      <c r="I8" s="3">
        <v>9.1010000000000009</v>
      </c>
      <c r="J8" s="3" t="s">
        <v>10</v>
      </c>
      <c r="K8" s="11" t="str">
        <f>("30622454607294")</f>
        <v>30622454607294</v>
      </c>
      <c r="L8" s="3">
        <v>24</v>
      </c>
      <c r="M8" s="3">
        <v>16</v>
      </c>
    </row>
    <row r="9" spans="1:13" x14ac:dyDescent="0.25">
      <c r="A9" s="3" t="s">
        <v>1371</v>
      </c>
      <c r="B9" s="10" t="s">
        <v>1351</v>
      </c>
      <c r="C9" s="3" t="str">
        <f>("294807")</f>
        <v>294807</v>
      </c>
      <c r="D9" s="11" t="str">
        <f>("622454607316")</f>
        <v>622454607316</v>
      </c>
      <c r="E9" s="3"/>
      <c r="F9" s="8" t="s">
        <v>11</v>
      </c>
      <c r="G9" s="14">
        <v>580.65</v>
      </c>
      <c r="H9" s="35">
        <v>45689</v>
      </c>
      <c r="I9" s="3">
        <v>13.7</v>
      </c>
      <c r="J9" s="3" t="s">
        <v>10</v>
      </c>
      <c r="K9" s="11" t="str">
        <f>("30622454607317")</f>
        <v>30622454607317</v>
      </c>
      <c r="L9" s="3">
        <v>14</v>
      </c>
      <c r="M9" s="3">
        <v>8</v>
      </c>
    </row>
    <row r="10" spans="1:13" x14ac:dyDescent="0.25">
      <c r="A10" s="3" t="s">
        <v>1371</v>
      </c>
      <c r="B10" s="10" t="s">
        <v>1351</v>
      </c>
      <c r="C10" s="3" t="str">
        <f>("294809")</f>
        <v>294809</v>
      </c>
      <c r="D10" s="11" t="str">
        <f>("622454607330")</f>
        <v>622454607330</v>
      </c>
      <c r="E10" s="3"/>
      <c r="F10" s="8" t="s">
        <v>12</v>
      </c>
      <c r="G10" s="14">
        <v>953.25249752154343</v>
      </c>
      <c r="H10" s="35">
        <v>45689</v>
      </c>
      <c r="I10" s="3">
        <v>18.536000000000001</v>
      </c>
      <c r="J10" s="3" t="s">
        <v>10</v>
      </c>
      <c r="K10" s="11" t="str">
        <f>("20622454607334")</f>
        <v>20622454607334</v>
      </c>
      <c r="L10" s="3">
        <v>8</v>
      </c>
      <c r="M10" s="3"/>
    </row>
    <row r="11" spans="1:13" x14ac:dyDescent="0.25">
      <c r="A11" s="3" t="s">
        <v>1371</v>
      </c>
      <c r="B11" s="10" t="s">
        <v>1351</v>
      </c>
      <c r="C11" s="3" t="str">
        <f>("294811")</f>
        <v>294811</v>
      </c>
      <c r="D11" s="11" t="str">
        <f>("622454607354")</f>
        <v>622454607354</v>
      </c>
      <c r="E11" s="3"/>
      <c r="F11" s="8" t="s">
        <v>13</v>
      </c>
      <c r="G11" s="14">
        <v>1051.652755330219</v>
      </c>
      <c r="H11" s="35">
        <v>45689</v>
      </c>
      <c r="I11" s="3">
        <v>28.652999999999999</v>
      </c>
      <c r="J11" s="3" t="s">
        <v>10</v>
      </c>
      <c r="K11" s="11" t="str">
        <f>("10622454607351")</f>
        <v>10622454607351</v>
      </c>
      <c r="L11" s="3">
        <v>5</v>
      </c>
      <c r="M11" s="3"/>
    </row>
    <row r="12" spans="1:13" x14ac:dyDescent="0.25">
      <c r="A12" s="3" t="s">
        <v>1371</v>
      </c>
      <c r="B12" s="10" t="s">
        <v>1351</v>
      </c>
      <c r="C12" s="3" t="str">
        <f>("294813")</f>
        <v>294813</v>
      </c>
      <c r="D12" s="11" t="str">
        <f>("622454607378")</f>
        <v>622454607378</v>
      </c>
      <c r="E12" s="3"/>
      <c r="F12" s="8" t="s">
        <v>14</v>
      </c>
      <c r="G12" s="14">
        <v>1797.0347082309356</v>
      </c>
      <c r="H12" s="35">
        <v>45689</v>
      </c>
      <c r="I12" s="3">
        <v>40.023000000000003</v>
      </c>
      <c r="J12" s="3" t="s">
        <v>10</v>
      </c>
      <c r="K12" s="11" t="str">
        <f>("10622454607375")</f>
        <v>10622454607375</v>
      </c>
      <c r="L12" s="3">
        <v>4</v>
      </c>
      <c r="M12" s="3"/>
    </row>
    <row r="13" spans="1:13" x14ac:dyDescent="0.25">
      <c r="A13" s="3" t="s">
        <v>1371</v>
      </c>
      <c r="B13" s="10" t="s">
        <v>1351</v>
      </c>
      <c r="C13" s="3" t="str">
        <f>("294815")</f>
        <v>294815</v>
      </c>
      <c r="D13" s="11" t="str">
        <f>("622454607392")</f>
        <v>622454607392</v>
      </c>
      <c r="E13" s="3"/>
      <c r="F13" s="8" t="s">
        <v>15</v>
      </c>
      <c r="G13" s="14">
        <v>3130.3582015384882</v>
      </c>
      <c r="H13" s="35">
        <v>45689</v>
      </c>
      <c r="I13" s="3">
        <v>52.052999999999997</v>
      </c>
      <c r="J13" s="3" t="s">
        <v>10</v>
      </c>
      <c r="K13" s="11" t="str">
        <f>("10622454607399")</f>
        <v>10622454607399</v>
      </c>
      <c r="L13" s="3">
        <v>3</v>
      </c>
      <c r="M13" s="3"/>
    </row>
    <row r="14" spans="1:13" x14ac:dyDescent="0.25">
      <c r="A14" s="3" t="s">
        <v>1371</v>
      </c>
      <c r="B14" s="10" t="s">
        <v>1351</v>
      </c>
      <c r="C14" s="3" t="str">
        <f>("294817")</f>
        <v>294817</v>
      </c>
      <c r="D14" s="11" t="str">
        <f>("622454607415")</f>
        <v>622454607415</v>
      </c>
      <c r="E14" s="3"/>
      <c r="F14" s="8" t="s">
        <v>16</v>
      </c>
      <c r="G14" s="14">
        <v>4345.07</v>
      </c>
      <c r="H14" s="35">
        <v>45689</v>
      </c>
      <c r="I14" s="3">
        <v>81.73</v>
      </c>
      <c r="J14" s="3" t="s">
        <v>10</v>
      </c>
      <c r="K14" s="11" t="str">
        <f>("10622454607412")</f>
        <v>10622454607412</v>
      </c>
      <c r="L14" s="3">
        <v>2</v>
      </c>
      <c r="M14" s="3">
        <v>2</v>
      </c>
    </row>
    <row r="15" spans="1:13" x14ac:dyDescent="0.25">
      <c r="A15" s="3" t="s">
        <v>1371</v>
      </c>
      <c r="B15" s="10" t="s">
        <v>1351</v>
      </c>
      <c r="C15" s="3" t="str">
        <f>("755281")</f>
        <v>755281</v>
      </c>
      <c r="D15" s="11" t="str">
        <f>("662671192677")</f>
        <v>662671192677</v>
      </c>
      <c r="E15" s="3" t="s">
        <v>17</v>
      </c>
      <c r="F15" s="8" t="s">
        <v>18</v>
      </c>
      <c r="G15" s="14">
        <v>73.602084619882902</v>
      </c>
      <c r="H15" s="35">
        <v>45689</v>
      </c>
      <c r="I15" s="3">
        <v>8.2000000000000003E-2</v>
      </c>
      <c r="J15" s="3" t="s">
        <v>3</v>
      </c>
      <c r="K15" s="11" t="str">
        <f>("10662671192674")</f>
        <v>10662671192674</v>
      </c>
      <c r="L15" s="3">
        <v>60</v>
      </c>
      <c r="M15" s="3">
        <v>8640</v>
      </c>
    </row>
    <row r="16" spans="1:13" x14ac:dyDescent="0.25">
      <c r="A16" s="3" t="s">
        <v>1371</v>
      </c>
      <c r="B16" s="10" t="s">
        <v>1351</v>
      </c>
      <c r="C16" s="3" t="str">
        <f>("755283")</f>
        <v>755283</v>
      </c>
      <c r="D16" s="11" t="str">
        <f>("662671192684")</f>
        <v>662671192684</v>
      </c>
      <c r="E16" s="3" t="s">
        <v>19</v>
      </c>
      <c r="F16" s="8" t="s">
        <v>20</v>
      </c>
      <c r="G16" s="14">
        <v>51.32950476278117</v>
      </c>
      <c r="H16" s="35">
        <v>45689</v>
      </c>
      <c r="I16" s="3">
        <v>0.11</v>
      </c>
      <c r="J16" s="3" t="s">
        <v>3</v>
      </c>
      <c r="K16" s="11" t="str">
        <f>("10662671192681")</f>
        <v>10662671192681</v>
      </c>
      <c r="L16" s="3">
        <v>25</v>
      </c>
      <c r="M16" s="3">
        <v>3600</v>
      </c>
    </row>
    <row r="17" spans="1:13" x14ac:dyDescent="0.25">
      <c r="A17" s="3" t="s">
        <v>1371</v>
      </c>
      <c r="B17" s="10" t="s">
        <v>1351</v>
      </c>
      <c r="C17" s="3" t="str">
        <f>("755285")</f>
        <v>755285</v>
      </c>
      <c r="D17" s="11" t="str">
        <f>("662671192691")</f>
        <v>662671192691</v>
      </c>
      <c r="E17" s="3" t="s">
        <v>21</v>
      </c>
      <c r="F17" s="8" t="s">
        <v>22</v>
      </c>
      <c r="G17" s="14">
        <v>129.8403487590648</v>
      </c>
      <c r="H17" s="35">
        <v>45689</v>
      </c>
      <c r="I17" s="3">
        <v>0.441</v>
      </c>
      <c r="J17" s="3" t="s">
        <v>3</v>
      </c>
      <c r="K17" s="11" t="str">
        <f>("10662671192698")</f>
        <v>10662671192698</v>
      </c>
      <c r="L17" s="3">
        <v>45</v>
      </c>
      <c r="M17" s="3">
        <v>1440</v>
      </c>
    </row>
    <row r="18" spans="1:13" x14ac:dyDescent="0.25">
      <c r="A18" s="3" t="s">
        <v>1371</v>
      </c>
      <c r="B18" s="10" t="s">
        <v>1351</v>
      </c>
      <c r="C18" s="3" t="str">
        <f>("755287")</f>
        <v>755287</v>
      </c>
      <c r="D18" s="11" t="str">
        <f>("662671192707")</f>
        <v>662671192707</v>
      </c>
      <c r="E18" s="3" t="s">
        <v>23</v>
      </c>
      <c r="F18" s="8" t="s">
        <v>24</v>
      </c>
      <c r="G18" s="14">
        <v>249.81921972613654</v>
      </c>
      <c r="H18" s="35">
        <v>45689</v>
      </c>
      <c r="I18" s="3">
        <v>2.4249999999999998</v>
      </c>
      <c r="J18" s="3" t="s">
        <v>3</v>
      </c>
      <c r="K18" s="11" t="str">
        <f>("10662671192704")</f>
        <v>10662671192704</v>
      </c>
      <c r="L18" s="3">
        <v>5</v>
      </c>
      <c r="M18" s="3">
        <v>360</v>
      </c>
    </row>
    <row r="19" spans="1:13" x14ac:dyDescent="0.25">
      <c r="A19" s="3" t="s">
        <v>1371</v>
      </c>
      <c r="B19" s="10" t="s">
        <v>1351</v>
      </c>
      <c r="C19" s="3" t="str">
        <f>("026337")</f>
        <v>026337</v>
      </c>
      <c r="D19" s="11" t="str">
        <f>("622454196315")</f>
        <v>622454196315</v>
      </c>
      <c r="E19" s="3"/>
      <c r="F19" s="8" t="s">
        <v>25</v>
      </c>
      <c r="G19" s="14">
        <v>433.20713500269363</v>
      </c>
      <c r="H19" s="35">
        <v>45689</v>
      </c>
      <c r="I19" s="3">
        <v>2.9980000000000002</v>
      </c>
      <c r="J19" s="3" t="s">
        <v>10</v>
      </c>
      <c r="K19" s="11" t="str">
        <f>("10622454196312")</f>
        <v>10622454196312</v>
      </c>
      <c r="L19" s="3">
        <v>10</v>
      </c>
      <c r="M19" s="3"/>
    </row>
    <row r="20" spans="1:13" x14ac:dyDescent="0.25">
      <c r="A20" s="3" t="s">
        <v>1371</v>
      </c>
      <c r="B20" s="10" t="s">
        <v>1351</v>
      </c>
      <c r="C20" s="3" t="str">
        <f>("026012")</f>
        <v>026012</v>
      </c>
      <c r="D20" s="11" t="str">
        <f>("622454017573")</f>
        <v>622454017573</v>
      </c>
      <c r="E20" s="3"/>
      <c r="F20" s="8" t="s">
        <v>26</v>
      </c>
      <c r="G20" s="14">
        <v>682.03678693638187</v>
      </c>
      <c r="H20" s="35">
        <v>45689</v>
      </c>
      <c r="I20" s="3">
        <v>4.0119999999999996</v>
      </c>
      <c r="J20" s="3" t="s">
        <v>10</v>
      </c>
      <c r="K20" s="11" t="str">
        <f>("30622454017574")</f>
        <v>30622454017574</v>
      </c>
      <c r="L20" s="3">
        <v>3</v>
      </c>
      <c r="M20" s="3"/>
    </row>
    <row r="21" spans="1:13" x14ac:dyDescent="0.25">
      <c r="A21" s="3" t="s">
        <v>1371</v>
      </c>
      <c r="B21" s="10" t="s">
        <v>1351</v>
      </c>
      <c r="C21" s="3" t="str">
        <f>("026005")</f>
        <v>026005</v>
      </c>
      <c r="D21" s="11" t="str">
        <f>("622454260054")</f>
        <v>622454260054</v>
      </c>
      <c r="E21" s="3"/>
      <c r="F21" s="8" t="s">
        <v>27</v>
      </c>
      <c r="G21" s="14">
        <v>1128.7739573877684</v>
      </c>
      <c r="H21" s="35">
        <v>45689</v>
      </c>
      <c r="I21" s="3">
        <v>12.015000000000001</v>
      </c>
      <c r="J21" s="3" t="s">
        <v>10</v>
      </c>
      <c r="K21" s="11" t="str">
        <f>("00622454260054")</f>
        <v>00622454260054</v>
      </c>
      <c r="L21" s="3">
        <v>1</v>
      </c>
      <c r="M21" s="3"/>
    </row>
    <row r="22" spans="1:13" x14ac:dyDescent="0.25">
      <c r="A22" s="3" t="s">
        <v>1371</v>
      </c>
      <c r="B22" s="10" t="s">
        <v>1351</v>
      </c>
      <c r="C22" s="3" t="str">
        <f>("755290")</f>
        <v>755290</v>
      </c>
      <c r="D22" s="11" t="str">
        <f>("662671191366")</f>
        <v>662671191366</v>
      </c>
      <c r="E22" s="3">
        <v>193022</v>
      </c>
      <c r="F22" s="8" t="s">
        <v>28</v>
      </c>
      <c r="G22" s="14">
        <v>40.779335356785609</v>
      </c>
      <c r="H22" s="35">
        <v>45689</v>
      </c>
      <c r="I22" s="3">
        <v>0.13700000000000001</v>
      </c>
      <c r="J22" s="3" t="s">
        <v>3</v>
      </c>
      <c r="K22" s="11" t="str">
        <f>("10662671191363")</f>
        <v>10662671191363</v>
      </c>
      <c r="L22" s="3">
        <v>75</v>
      </c>
      <c r="M22" s="3">
        <v>5400</v>
      </c>
    </row>
    <row r="23" spans="1:13" x14ac:dyDescent="0.25">
      <c r="A23" s="3" t="s">
        <v>1371</v>
      </c>
      <c r="B23" s="10" t="s">
        <v>1351</v>
      </c>
      <c r="C23" s="3" t="str">
        <f>("755291")</f>
        <v>755291</v>
      </c>
      <c r="D23" s="11" t="str">
        <f>("662671192356")</f>
        <v>662671192356</v>
      </c>
      <c r="E23" s="3">
        <v>193023</v>
      </c>
      <c r="F23" s="8" t="s">
        <v>29</v>
      </c>
      <c r="G23" s="14">
        <v>119.34879140532476</v>
      </c>
      <c r="H23" s="35">
        <v>45689</v>
      </c>
      <c r="I23" s="3">
        <v>0.39200000000000002</v>
      </c>
      <c r="J23" s="3" t="s">
        <v>3</v>
      </c>
      <c r="K23" s="11" t="str">
        <f>("10662671192353")</f>
        <v>10662671192353</v>
      </c>
      <c r="L23" s="3">
        <v>35</v>
      </c>
      <c r="M23" s="3">
        <v>2520</v>
      </c>
    </row>
    <row r="24" spans="1:13" x14ac:dyDescent="0.25">
      <c r="A24" s="3" t="s">
        <v>1371</v>
      </c>
      <c r="B24" s="10" t="s">
        <v>1351</v>
      </c>
      <c r="C24" s="3" t="str">
        <f>("755292")</f>
        <v>755292</v>
      </c>
      <c r="D24" s="11" t="str">
        <f>("662671190376")</f>
        <v>662671190376</v>
      </c>
      <c r="E24" s="3">
        <v>193024</v>
      </c>
      <c r="F24" s="8" t="s">
        <v>30</v>
      </c>
      <c r="G24" s="14">
        <v>92.973367890335865</v>
      </c>
      <c r="H24" s="35">
        <v>45689</v>
      </c>
      <c r="I24" s="3">
        <v>0.38800000000000001</v>
      </c>
      <c r="J24" s="3" t="s">
        <v>3</v>
      </c>
      <c r="K24" s="11" t="str">
        <f>("10662671190373")</f>
        <v>10662671190373</v>
      </c>
      <c r="L24" s="3">
        <v>35</v>
      </c>
      <c r="M24" s="3">
        <v>2520</v>
      </c>
    </row>
    <row r="25" spans="1:13" x14ac:dyDescent="0.25">
      <c r="A25" s="3" t="s">
        <v>1371</v>
      </c>
      <c r="B25" s="10" t="s">
        <v>1351</v>
      </c>
      <c r="C25" s="3" t="str">
        <f>("755293")</f>
        <v>755293</v>
      </c>
      <c r="D25" s="11" t="str">
        <f>("662671192714")</f>
        <v>662671192714</v>
      </c>
      <c r="E25" s="3">
        <v>193025</v>
      </c>
      <c r="F25" s="8" t="s">
        <v>31</v>
      </c>
      <c r="G25" s="14">
        <v>182.18091142325389</v>
      </c>
      <c r="H25" s="35">
        <v>45689</v>
      </c>
      <c r="I25" s="3">
        <v>0.70799999999999996</v>
      </c>
      <c r="J25" s="3" t="s">
        <v>3</v>
      </c>
      <c r="K25" s="11" t="str">
        <f>("10662671192711")</f>
        <v>10662671192711</v>
      </c>
      <c r="L25" s="3">
        <v>10</v>
      </c>
      <c r="M25" s="3">
        <v>720</v>
      </c>
    </row>
    <row r="26" spans="1:13" x14ac:dyDescent="0.25">
      <c r="A26" s="3" t="s">
        <v>1371</v>
      </c>
      <c r="B26" s="10" t="s">
        <v>1351</v>
      </c>
      <c r="C26" s="3" t="str">
        <f>("755294")</f>
        <v>755294</v>
      </c>
      <c r="D26" s="11" t="str">
        <f>("662671191557")</f>
        <v>662671191557</v>
      </c>
      <c r="E26" s="3">
        <v>193026</v>
      </c>
      <c r="F26" s="8" t="s">
        <v>32</v>
      </c>
      <c r="G26" s="14">
        <v>194.66527855368193</v>
      </c>
      <c r="H26" s="35">
        <v>45689</v>
      </c>
      <c r="I26" s="3">
        <v>0.72099999999999997</v>
      </c>
      <c r="J26" s="3" t="s">
        <v>3</v>
      </c>
      <c r="K26" s="11" t="str">
        <f>("10662671191554")</f>
        <v>10662671191554</v>
      </c>
      <c r="L26" s="3">
        <v>30</v>
      </c>
      <c r="M26" s="3">
        <v>960</v>
      </c>
    </row>
    <row r="27" spans="1:13" x14ac:dyDescent="0.25">
      <c r="A27" s="3" t="s">
        <v>1371</v>
      </c>
      <c r="B27" s="10" t="s">
        <v>1351</v>
      </c>
      <c r="C27" s="3" t="str">
        <f>("755302")</f>
        <v>755302</v>
      </c>
      <c r="D27" s="11" t="str">
        <f>("662671191106")</f>
        <v>662671191106</v>
      </c>
      <c r="E27" s="3">
        <v>193037</v>
      </c>
      <c r="F27" s="8" t="s">
        <v>33</v>
      </c>
      <c r="G27" s="14">
        <v>757.3116741806507</v>
      </c>
      <c r="H27" s="35">
        <v>45689</v>
      </c>
      <c r="I27" s="3">
        <v>2.0169999999999999</v>
      </c>
      <c r="J27" s="3" t="s">
        <v>3</v>
      </c>
      <c r="K27" s="11" t="str">
        <f>("30662671191107")</f>
        <v>30662671191107</v>
      </c>
      <c r="L27" s="3">
        <v>12</v>
      </c>
      <c r="M27" s="3">
        <v>288</v>
      </c>
    </row>
    <row r="28" spans="1:13" x14ac:dyDescent="0.25">
      <c r="A28" s="3" t="s">
        <v>1371</v>
      </c>
      <c r="B28" s="10" t="s">
        <v>1351</v>
      </c>
      <c r="C28" s="3" t="str">
        <f>("226133")</f>
        <v>226133</v>
      </c>
      <c r="D28" s="11" t="str">
        <f>("622454875616")</f>
        <v>622454875616</v>
      </c>
      <c r="E28" s="3">
        <v>193038</v>
      </c>
      <c r="F28" s="8" t="s">
        <v>34</v>
      </c>
      <c r="G28" s="14">
        <v>1054.0791477634673</v>
      </c>
      <c r="H28" s="35">
        <v>45689</v>
      </c>
      <c r="I28" s="3">
        <v>5.7539999999999996</v>
      </c>
      <c r="J28" s="3" t="s">
        <v>3</v>
      </c>
      <c r="K28" s="11" t="str">
        <f>("10622454875613")</f>
        <v>10622454875613</v>
      </c>
      <c r="L28" s="3">
        <v>2</v>
      </c>
      <c r="M28" s="3"/>
    </row>
    <row r="29" spans="1:13" x14ac:dyDescent="0.25">
      <c r="A29" s="3" t="s">
        <v>1371</v>
      </c>
      <c r="B29" s="10" t="s">
        <v>1351</v>
      </c>
      <c r="C29" s="3" t="str">
        <f>("226132")</f>
        <v>226132</v>
      </c>
      <c r="D29" s="11" t="str">
        <f>("622454875609")</f>
        <v>622454875609</v>
      </c>
      <c r="E29" s="3">
        <v>193039</v>
      </c>
      <c r="F29" s="8" t="s">
        <v>35</v>
      </c>
      <c r="G29" s="14">
        <v>847.51562260191281</v>
      </c>
      <c r="H29" s="35">
        <v>45689</v>
      </c>
      <c r="I29" s="3">
        <v>3.1970000000000001</v>
      </c>
      <c r="J29" s="3" t="s">
        <v>3</v>
      </c>
      <c r="K29" s="11" t="str">
        <f>("10622454875606")</f>
        <v>10622454875606</v>
      </c>
      <c r="L29" s="3">
        <v>2</v>
      </c>
      <c r="M29" s="3"/>
    </row>
    <row r="30" spans="1:13" x14ac:dyDescent="0.25">
      <c r="A30" s="3" t="s">
        <v>1371</v>
      </c>
      <c r="B30" s="10" t="s">
        <v>1351</v>
      </c>
      <c r="C30" s="3" t="str">
        <f>("026515")</f>
        <v>026515</v>
      </c>
      <c r="D30" s="11" t="str">
        <f>("622454265158")</f>
        <v>622454265158</v>
      </c>
      <c r="E30" s="3"/>
      <c r="F30" s="8" t="s">
        <v>36</v>
      </c>
      <c r="G30" s="14">
        <v>934.80244918241681</v>
      </c>
      <c r="H30" s="35">
        <v>45689</v>
      </c>
      <c r="I30" s="3">
        <v>7.6959999999999997</v>
      </c>
      <c r="J30" s="3" t="s">
        <v>10</v>
      </c>
      <c r="K30" s="11" t="str">
        <f>("10622454265155")</f>
        <v>10622454265155</v>
      </c>
      <c r="L30" s="3">
        <v>2</v>
      </c>
      <c r="M30" s="3"/>
    </row>
    <row r="31" spans="1:13" x14ac:dyDescent="0.25">
      <c r="A31" s="3" t="s">
        <v>1371</v>
      </c>
      <c r="B31" s="10" t="s">
        <v>1351</v>
      </c>
      <c r="C31" s="3" t="str">
        <f>("026518")</f>
        <v>026518</v>
      </c>
      <c r="D31" s="11" t="str">
        <f>("622454265189")</f>
        <v>622454265189</v>
      </c>
      <c r="E31" s="3"/>
      <c r="F31" s="8" t="s">
        <v>37</v>
      </c>
      <c r="G31" s="14">
        <v>869.98127935095181</v>
      </c>
      <c r="H31" s="35">
        <v>45689</v>
      </c>
      <c r="I31" s="3">
        <v>5.9589999999999996</v>
      </c>
      <c r="J31" s="3" t="s">
        <v>10</v>
      </c>
      <c r="K31" s="11" t="str">
        <f>("10622454265186")</f>
        <v>10622454265186</v>
      </c>
      <c r="L31" s="3">
        <v>2</v>
      </c>
      <c r="M31" s="3"/>
    </row>
    <row r="32" spans="1:13" x14ac:dyDescent="0.25">
      <c r="A32" s="3" t="s">
        <v>1371</v>
      </c>
      <c r="B32" s="10" t="s">
        <v>1351</v>
      </c>
      <c r="C32" s="3" t="str">
        <f>("294850")</f>
        <v>294850</v>
      </c>
      <c r="D32" s="11" t="str">
        <f>("622454607828")</f>
        <v>622454607828</v>
      </c>
      <c r="E32" s="3"/>
      <c r="F32" s="8" t="s">
        <v>38</v>
      </c>
      <c r="G32" s="14">
        <v>608.8515951911794</v>
      </c>
      <c r="H32" s="35">
        <v>45689</v>
      </c>
      <c r="I32" s="3">
        <v>7.2329999999999997</v>
      </c>
      <c r="J32" s="3" t="s">
        <v>10</v>
      </c>
      <c r="K32" s="11" t="str">
        <f>("10622454607825")</f>
        <v>10622454607825</v>
      </c>
      <c r="L32" s="3">
        <v>4</v>
      </c>
      <c r="M32" s="3">
        <v>48</v>
      </c>
    </row>
    <row r="33" spans="1:13" x14ac:dyDescent="0.25">
      <c r="A33" s="3" t="s">
        <v>1371</v>
      </c>
      <c r="B33" s="10" t="s">
        <v>1351</v>
      </c>
      <c r="C33" s="3" t="str">
        <f>("026516")</f>
        <v>026516</v>
      </c>
      <c r="D33" s="11" t="str">
        <f>("622454265165")</f>
        <v>622454265165</v>
      </c>
      <c r="E33" s="3"/>
      <c r="F33" s="8" t="s">
        <v>39</v>
      </c>
      <c r="G33" s="14">
        <v>1758.9046083300739</v>
      </c>
      <c r="H33" s="35">
        <v>45689</v>
      </c>
      <c r="I33" s="3">
        <v>8.7520000000000007</v>
      </c>
      <c r="J33" s="3" t="s">
        <v>10</v>
      </c>
      <c r="K33" s="11" t="str">
        <f>("10622454265162")</f>
        <v>10622454265162</v>
      </c>
      <c r="L33" s="3">
        <v>2</v>
      </c>
      <c r="M33" s="3"/>
    </row>
    <row r="34" spans="1:13" x14ac:dyDescent="0.25">
      <c r="A34" s="3" t="s">
        <v>1371</v>
      </c>
      <c r="B34" s="10" t="s">
        <v>1351</v>
      </c>
      <c r="C34" s="3" t="str">
        <f>("026519")</f>
        <v>026519</v>
      </c>
      <c r="D34" s="11" t="str">
        <f>("622454265196")</f>
        <v>622454265196</v>
      </c>
      <c r="E34" s="3"/>
      <c r="F34" s="8" t="s">
        <v>40</v>
      </c>
      <c r="G34" s="14">
        <v>1330.8634868623355</v>
      </c>
      <c r="H34" s="35">
        <v>45689</v>
      </c>
      <c r="I34" s="3">
        <v>33.774999999999999</v>
      </c>
      <c r="J34" s="3" t="s">
        <v>10</v>
      </c>
      <c r="K34" s="11" t="str">
        <f>("20622454265190")</f>
        <v>20622454265190</v>
      </c>
      <c r="L34" s="3">
        <v>3</v>
      </c>
      <c r="M34" s="3">
        <v>30</v>
      </c>
    </row>
    <row r="35" spans="1:13" x14ac:dyDescent="0.25">
      <c r="A35" s="3" t="s">
        <v>1371</v>
      </c>
      <c r="B35" s="10" t="s">
        <v>1351</v>
      </c>
      <c r="C35" s="3" t="str">
        <f>("294862")</f>
        <v>294862</v>
      </c>
      <c r="D35" s="11" t="str">
        <f>("622454607941")</f>
        <v>622454607941</v>
      </c>
      <c r="E35" s="3"/>
      <c r="F35" s="8" t="s">
        <v>41</v>
      </c>
      <c r="G35" s="14">
        <v>1168.503061478021</v>
      </c>
      <c r="H35" s="35">
        <v>45689</v>
      </c>
      <c r="I35" s="3">
        <v>9.89</v>
      </c>
      <c r="J35" s="3" t="s">
        <v>10</v>
      </c>
      <c r="K35" s="11" t="str">
        <f>("10622454607948")</f>
        <v>10622454607948</v>
      </c>
      <c r="L35" s="3">
        <v>2</v>
      </c>
      <c r="M35" s="3">
        <v>24</v>
      </c>
    </row>
    <row r="36" spans="1:13" x14ac:dyDescent="0.25">
      <c r="A36" s="3" t="s">
        <v>1371</v>
      </c>
      <c r="B36" s="10" t="s">
        <v>1351</v>
      </c>
      <c r="C36" s="3" t="str">
        <f>("294866")</f>
        <v>294866</v>
      </c>
      <c r="D36" s="11" t="str">
        <f>("622454607989")</f>
        <v>622454607989</v>
      </c>
      <c r="E36" s="3"/>
      <c r="F36" s="8" t="s">
        <v>42</v>
      </c>
      <c r="G36" s="14">
        <v>888.062326723296</v>
      </c>
      <c r="H36" s="35">
        <v>45689</v>
      </c>
      <c r="I36" s="3">
        <v>11.268000000000001</v>
      </c>
      <c r="J36" s="3" t="s">
        <v>10</v>
      </c>
      <c r="K36" s="11" t="str">
        <f>("00622454607989")</f>
        <v>00622454607989</v>
      </c>
      <c r="L36" s="3">
        <v>1</v>
      </c>
      <c r="M36" s="3">
        <v>18</v>
      </c>
    </row>
    <row r="37" spans="1:13" x14ac:dyDescent="0.25">
      <c r="A37" s="3" t="s">
        <v>1371</v>
      </c>
      <c r="B37" s="10" t="s">
        <v>1351</v>
      </c>
      <c r="C37" s="3" t="str">
        <f>("294870")</f>
        <v>294870</v>
      </c>
      <c r="D37" s="11" t="str">
        <f>("622454608023")</f>
        <v>622454608023</v>
      </c>
      <c r="E37" s="3"/>
      <c r="F37" s="8" t="s">
        <v>43</v>
      </c>
      <c r="G37" s="14">
        <v>2825.3174023315937</v>
      </c>
      <c r="H37" s="35">
        <v>45689</v>
      </c>
      <c r="I37" s="3">
        <v>17.466999999999999</v>
      </c>
      <c r="J37" s="3" t="s">
        <v>10</v>
      </c>
      <c r="K37" s="11" t="str">
        <f>("00622454608023")</f>
        <v>00622454608023</v>
      </c>
      <c r="L37" s="3">
        <v>1</v>
      </c>
      <c r="M37" s="3"/>
    </row>
    <row r="38" spans="1:13" x14ac:dyDescent="0.25">
      <c r="A38" s="3" t="s">
        <v>1371</v>
      </c>
      <c r="B38" s="10" t="s">
        <v>1351</v>
      </c>
      <c r="C38" s="3" t="str">
        <f>("294874")</f>
        <v>294874</v>
      </c>
      <c r="D38" s="11" t="str">
        <f>("622454608061")</f>
        <v>622454608061</v>
      </c>
      <c r="E38" s="3"/>
      <c r="F38" s="8" t="s">
        <v>44</v>
      </c>
      <c r="G38" s="14">
        <v>2735.5271670811776</v>
      </c>
      <c r="H38" s="35">
        <v>45689</v>
      </c>
      <c r="I38" s="3">
        <v>18.672999999999998</v>
      </c>
      <c r="J38" s="3" t="s">
        <v>10</v>
      </c>
      <c r="K38" s="11" t="str">
        <f>("10622454608068")</f>
        <v>10622454608068</v>
      </c>
      <c r="L38" s="3">
        <v>2</v>
      </c>
      <c r="M38" s="3">
        <v>16</v>
      </c>
    </row>
    <row r="39" spans="1:13" x14ac:dyDescent="0.25">
      <c r="A39" s="3" t="s">
        <v>1371</v>
      </c>
      <c r="B39" s="10" t="s">
        <v>1351</v>
      </c>
      <c r="C39" s="3" t="str">
        <f>("294878")</f>
        <v>294878</v>
      </c>
      <c r="D39" s="11" t="str">
        <f>("622454608108")</f>
        <v>622454608108</v>
      </c>
      <c r="E39" s="3"/>
      <c r="F39" s="8" t="s">
        <v>45</v>
      </c>
      <c r="G39" s="14">
        <v>1980.3051883995934</v>
      </c>
      <c r="H39" s="35">
        <v>45689</v>
      </c>
      <c r="I39" s="3">
        <v>21.927</v>
      </c>
      <c r="J39" s="3" t="s">
        <v>10</v>
      </c>
      <c r="K39" s="11" t="str">
        <f>("00622454608108")</f>
        <v>00622454608108</v>
      </c>
      <c r="L39" s="3">
        <v>1</v>
      </c>
      <c r="M39" s="3"/>
    </row>
    <row r="40" spans="1:13" x14ac:dyDescent="0.25">
      <c r="A40" s="3" t="s">
        <v>1371</v>
      </c>
      <c r="B40" s="10" t="s">
        <v>1351</v>
      </c>
      <c r="C40" s="3" t="str">
        <f>("294882")</f>
        <v>294882</v>
      </c>
      <c r="D40" s="11" t="str">
        <f>("622454608146")</f>
        <v>622454608146</v>
      </c>
      <c r="E40" s="3"/>
      <c r="F40" s="8" t="s">
        <v>46</v>
      </c>
      <c r="G40" s="14">
        <v>1666.6543666344405</v>
      </c>
      <c r="H40" s="35">
        <v>45689</v>
      </c>
      <c r="I40" s="3">
        <v>12.976000000000001</v>
      </c>
      <c r="J40" s="3" t="s">
        <v>10</v>
      </c>
      <c r="K40" s="11" t="str">
        <f>("00622454608146")</f>
        <v>00622454608146</v>
      </c>
      <c r="L40" s="3">
        <v>1</v>
      </c>
      <c r="M40" s="3"/>
    </row>
    <row r="41" spans="1:13" x14ac:dyDescent="0.25">
      <c r="A41" s="3" t="s">
        <v>1371</v>
      </c>
      <c r="B41" s="10" t="s">
        <v>1351</v>
      </c>
      <c r="C41" s="3" t="str">
        <f>("294886")</f>
        <v>294886</v>
      </c>
      <c r="D41" s="11" t="str">
        <f>("622454608184")</f>
        <v>622454608184</v>
      </c>
      <c r="E41" s="3"/>
      <c r="F41" s="8" t="s">
        <v>47</v>
      </c>
      <c r="G41" s="14">
        <v>1488.3038993562163</v>
      </c>
      <c r="H41" s="35">
        <v>45689</v>
      </c>
      <c r="I41" s="3">
        <v>17.030999999999999</v>
      </c>
      <c r="J41" s="3" t="s">
        <v>10</v>
      </c>
      <c r="K41" s="11" t="str">
        <f>("00622454608184")</f>
        <v>00622454608184</v>
      </c>
      <c r="L41" s="3">
        <v>1</v>
      </c>
      <c r="M41" s="3">
        <v>10</v>
      </c>
    </row>
    <row r="42" spans="1:13" x14ac:dyDescent="0.25">
      <c r="A42" s="3" t="s">
        <v>1371</v>
      </c>
      <c r="B42" s="10" t="s">
        <v>1351</v>
      </c>
      <c r="C42" s="3" t="str">
        <f>("294890")</f>
        <v>294890</v>
      </c>
      <c r="D42" s="11" t="str">
        <f>("622454608221")</f>
        <v>622454608221</v>
      </c>
      <c r="E42" s="3"/>
      <c r="F42" s="8" t="s">
        <v>48</v>
      </c>
      <c r="G42" s="14">
        <v>3013.5078953906859</v>
      </c>
      <c r="H42" s="35">
        <v>45689</v>
      </c>
      <c r="I42" s="3">
        <v>24.550999999999998</v>
      </c>
      <c r="J42" s="3" t="s">
        <v>10</v>
      </c>
      <c r="K42" s="11" t="str">
        <f>("10622454608228")</f>
        <v>10622454608228</v>
      </c>
      <c r="L42" s="3">
        <v>2</v>
      </c>
      <c r="M42" s="3">
        <v>16</v>
      </c>
    </row>
    <row r="43" spans="1:13" x14ac:dyDescent="0.25">
      <c r="A43" s="3" t="s">
        <v>1371</v>
      </c>
      <c r="B43" s="10" t="s">
        <v>1351</v>
      </c>
      <c r="C43" s="3" t="str">
        <f>("294894")</f>
        <v>294894</v>
      </c>
      <c r="D43" s="11" t="str">
        <f>("622454608269")</f>
        <v>622454608269</v>
      </c>
      <c r="E43" s="3"/>
      <c r="F43" s="8" t="s">
        <v>49</v>
      </c>
      <c r="G43" s="14">
        <v>2781.0372863176904</v>
      </c>
      <c r="H43" s="35">
        <v>45689</v>
      </c>
      <c r="I43" s="3">
        <v>25.576000000000001</v>
      </c>
      <c r="J43" s="3" t="s">
        <v>10</v>
      </c>
      <c r="K43" s="11" t="str">
        <f>("00622454608269")</f>
        <v>00622454608269</v>
      </c>
      <c r="L43" s="3">
        <v>1</v>
      </c>
      <c r="M43" s="3"/>
    </row>
    <row r="44" spans="1:13" x14ac:dyDescent="0.25">
      <c r="A44" s="3" t="s">
        <v>1371</v>
      </c>
      <c r="B44" s="10" t="s">
        <v>1351</v>
      </c>
      <c r="C44" s="3" t="str">
        <f>("294898")</f>
        <v>294898</v>
      </c>
      <c r="D44" s="11" t="str">
        <f>("622454608306")</f>
        <v>622454608306</v>
      </c>
      <c r="E44" s="3"/>
      <c r="F44" s="8" t="s">
        <v>50</v>
      </c>
      <c r="G44" s="14">
        <v>2529.58</v>
      </c>
      <c r="H44" s="35">
        <v>45689</v>
      </c>
      <c r="I44" s="3">
        <v>27.231000000000002</v>
      </c>
      <c r="J44" s="3" t="s">
        <v>10</v>
      </c>
      <c r="K44" s="11" t="str">
        <f>("00622454608306")</f>
        <v>00622454608306</v>
      </c>
      <c r="L44" s="3">
        <v>1</v>
      </c>
      <c r="M44" s="3">
        <v>18</v>
      </c>
    </row>
    <row r="45" spans="1:13" x14ac:dyDescent="0.25">
      <c r="A45" s="3" t="s">
        <v>1371</v>
      </c>
      <c r="B45" s="10" t="s">
        <v>1351</v>
      </c>
      <c r="C45" s="3" t="str">
        <f>("294902")</f>
        <v>294902</v>
      </c>
      <c r="D45" s="11" t="str">
        <f>("622454608344")</f>
        <v>622454608344</v>
      </c>
      <c r="E45" s="3"/>
      <c r="F45" s="8" t="s">
        <v>51</v>
      </c>
      <c r="G45" s="14">
        <v>2275.50596182562</v>
      </c>
      <c r="H45" s="35">
        <v>45689</v>
      </c>
      <c r="I45" s="3">
        <v>24.244</v>
      </c>
      <c r="J45" s="3" t="s">
        <v>10</v>
      </c>
      <c r="K45" s="11" t="str">
        <f>("00622454608344")</f>
        <v>00622454608344</v>
      </c>
      <c r="L45" s="3">
        <v>1</v>
      </c>
      <c r="M45" s="3"/>
    </row>
    <row r="46" spans="1:13" x14ac:dyDescent="0.25">
      <c r="A46" s="3" t="s">
        <v>1371</v>
      </c>
      <c r="B46" s="10" t="s">
        <v>1351</v>
      </c>
      <c r="C46" s="3" t="str">
        <f>("294906")</f>
        <v>294906</v>
      </c>
      <c r="D46" s="11" t="str">
        <f>("622454608382")</f>
        <v>622454608382</v>
      </c>
      <c r="E46" s="3"/>
      <c r="F46" s="8" t="s">
        <v>52</v>
      </c>
      <c r="G46" s="14">
        <v>2054.1053817561001</v>
      </c>
      <c r="H46" s="35">
        <v>45689</v>
      </c>
      <c r="I46" s="3">
        <v>25.64</v>
      </c>
      <c r="J46" s="3" t="s">
        <v>10</v>
      </c>
      <c r="K46" s="11" t="str">
        <f>("20622454608386")</f>
        <v>20622454608386</v>
      </c>
      <c r="L46" s="3">
        <v>10</v>
      </c>
      <c r="M46" s="3"/>
    </row>
    <row r="47" spans="1:13" x14ac:dyDescent="0.25">
      <c r="A47" s="3" t="s">
        <v>1371</v>
      </c>
      <c r="B47" s="10" t="s">
        <v>1351</v>
      </c>
      <c r="C47" s="3" t="str">
        <f>("294910")</f>
        <v>294910</v>
      </c>
      <c r="D47" s="11" t="str">
        <f>("622454608429")</f>
        <v>622454608429</v>
      </c>
      <c r="E47" s="3"/>
      <c r="F47" s="8" t="s">
        <v>53</v>
      </c>
      <c r="G47" s="14">
        <v>1783.5046727822426</v>
      </c>
      <c r="H47" s="35">
        <v>45689</v>
      </c>
      <c r="I47" s="3">
        <v>24.105</v>
      </c>
      <c r="J47" s="3" t="s">
        <v>10</v>
      </c>
      <c r="K47" s="11" t="str">
        <f>("10622454608426")</f>
        <v>10622454608426</v>
      </c>
      <c r="L47" s="3">
        <v>10</v>
      </c>
      <c r="M47" s="3"/>
    </row>
    <row r="48" spans="1:13" x14ac:dyDescent="0.25">
      <c r="A48" s="3" t="s">
        <v>1371</v>
      </c>
      <c r="B48" s="10" t="s">
        <v>1351</v>
      </c>
      <c r="C48" s="3" t="str">
        <f>("294914")</f>
        <v>294914</v>
      </c>
      <c r="D48" s="11" t="str">
        <f>("622454608467")</f>
        <v>622454608467</v>
      </c>
      <c r="E48" s="3"/>
      <c r="F48" s="8" t="s">
        <v>54</v>
      </c>
      <c r="G48" s="14">
        <v>5538.7045114058201</v>
      </c>
      <c r="H48" s="35">
        <v>45689</v>
      </c>
      <c r="I48" s="3">
        <v>30.138999999999999</v>
      </c>
      <c r="J48" s="3" t="s">
        <v>10</v>
      </c>
      <c r="K48" s="11" t="str">
        <f>("00622454608467")</f>
        <v>00622454608467</v>
      </c>
      <c r="L48" s="3">
        <v>1</v>
      </c>
      <c r="M48" s="3"/>
    </row>
    <row r="49" spans="1:13" x14ac:dyDescent="0.25">
      <c r="A49" s="3" t="s">
        <v>1371</v>
      </c>
      <c r="B49" s="10" t="s">
        <v>1351</v>
      </c>
      <c r="C49" s="3" t="str">
        <f>("294918")</f>
        <v>294918</v>
      </c>
      <c r="D49" s="11" t="str">
        <f>("622454608504")</f>
        <v>622454608504</v>
      </c>
      <c r="E49" s="3"/>
      <c r="F49" s="8" t="s">
        <v>55</v>
      </c>
      <c r="G49" s="14">
        <v>5030.7131804685332</v>
      </c>
      <c r="H49" s="35">
        <v>45689</v>
      </c>
      <c r="I49" s="3">
        <v>31.056000000000001</v>
      </c>
      <c r="J49" s="3" t="s">
        <v>10</v>
      </c>
      <c r="K49" s="11" t="str">
        <f>("00622454608504")</f>
        <v>00622454608504</v>
      </c>
      <c r="L49" s="3">
        <v>1</v>
      </c>
      <c r="M49" s="3"/>
    </row>
    <row r="50" spans="1:13" x14ac:dyDescent="0.25">
      <c r="A50" s="3" t="s">
        <v>1371</v>
      </c>
      <c r="B50" s="10" t="s">
        <v>1351</v>
      </c>
      <c r="C50" s="3" t="str">
        <f>("294922")</f>
        <v>294922</v>
      </c>
      <c r="D50" s="11" t="str">
        <f>("622454608542")</f>
        <v>622454608542</v>
      </c>
      <c r="E50" s="3"/>
      <c r="F50" s="8" t="s">
        <v>56</v>
      </c>
      <c r="G50" s="14">
        <v>4268.1111824512973</v>
      </c>
      <c r="H50" s="35">
        <v>45689</v>
      </c>
      <c r="I50" s="3">
        <v>33.067</v>
      </c>
      <c r="J50" s="3" t="s">
        <v>10</v>
      </c>
      <c r="K50" s="11" t="str">
        <f>("00622454608542")</f>
        <v>00622454608542</v>
      </c>
      <c r="L50" s="3">
        <v>1</v>
      </c>
      <c r="M50" s="3">
        <v>8</v>
      </c>
    </row>
    <row r="51" spans="1:13" x14ac:dyDescent="0.25">
      <c r="A51" s="3" t="s">
        <v>1371</v>
      </c>
      <c r="B51" s="10" t="s">
        <v>1351</v>
      </c>
      <c r="C51" s="3" t="str">
        <f>("294926")</f>
        <v>294926</v>
      </c>
      <c r="D51" s="11" t="str">
        <f>("622454608580")</f>
        <v>622454608580</v>
      </c>
      <c r="E51" s="3"/>
      <c r="F51" s="8" t="s">
        <v>57</v>
      </c>
      <c r="G51" s="14">
        <v>3985.2104412513554</v>
      </c>
      <c r="H51" s="35">
        <v>45689</v>
      </c>
      <c r="I51" s="3">
        <v>35.514000000000003</v>
      </c>
      <c r="J51" s="3" t="s">
        <v>10</v>
      </c>
      <c r="K51" s="11" t="str">
        <f>("00622454608580")</f>
        <v>00622454608580</v>
      </c>
      <c r="L51" s="3">
        <v>1</v>
      </c>
      <c r="M51" s="3"/>
    </row>
    <row r="52" spans="1:13" x14ac:dyDescent="0.25">
      <c r="A52" s="3" t="s">
        <v>1371</v>
      </c>
      <c r="B52" s="10" t="s">
        <v>1351</v>
      </c>
      <c r="C52" s="3" t="str">
        <f>("294930")</f>
        <v>294930</v>
      </c>
      <c r="D52" s="11" t="str">
        <f>("622454608627")</f>
        <v>622454608627</v>
      </c>
      <c r="E52" s="3"/>
      <c r="F52" s="8" t="s">
        <v>58</v>
      </c>
      <c r="G52" s="14">
        <v>3726.9097645035831</v>
      </c>
      <c r="H52" s="35">
        <v>45689</v>
      </c>
      <c r="I52" s="3">
        <v>38.526000000000003</v>
      </c>
      <c r="J52" s="3" t="s">
        <v>10</v>
      </c>
      <c r="K52" s="11" t="str">
        <f>("00622454608627")</f>
        <v>00622454608627</v>
      </c>
      <c r="L52" s="3">
        <v>1</v>
      </c>
      <c r="M52" s="3"/>
    </row>
    <row r="53" spans="1:13" x14ac:dyDescent="0.25">
      <c r="A53" s="3" t="s">
        <v>1371</v>
      </c>
      <c r="B53" s="10" t="s">
        <v>1351</v>
      </c>
      <c r="C53" s="3" t="str">
        <f>("294934")</f>
        <v>294934</v>
      </c>
      <c r="D53" s="11" t="str">
        <f>("622454608665")</f>
        <v>622454608665</v>
      </c>
      <c r="E53" s="3"/>
      <c r="F53" s="8" t="s">
        <v>59</v>
      </c>
      <c r="G53" s="14">
        <v>3437.8590071905983</v>
      </c>
      <c r="H53" s="35">
        <v>45689</v>
      </c>
      <c r="I53" s="3">
        <v>30.132999999999999</v>
      </c>
      <c r="J53" s="3" t="s">
        <v>10</v>
      </c>
      <c r="K53" s="11" t="str">
        <f>("00622454608665")</f>
        <v>00622454608665</v>
      </c>
      <c r="L53" s="3">
        <v>1</v>
      </c>
      <c r="M53" s="3"/>
    </row>
    <row r="54" spans="1:13" x14ac:dyDescent="0.25">
      <c r="A54" s="3" t="s">
        <v>1371</v>
      </c>
      <c r="B54" s="10" t="s">
        <v>1351</v>
      </c>
      <c r="C54" s="3" t="str">
        <f>("294938")</f>
        <v>294938</v>
      </c>
      <c r="D54" s="11" t="str">
        <f>("622454608702")</f>
        <v>622454608702</v>
      </c>
      <c r="E54" s="3"/>
      <c r="F54" s="8" t="s">
        <v>60</v>
      </c>
      <c r="G54" s="14">
        <v>2569.4767320290375</v>
      </c>
      <c r="H54" s="35">
        <v>45689</v>
      </c>
      <c r="I54" s="3">
        <v>34.99</v>
      </c>
      <c r="J54" s="3" t="s">
        <v>10</v>
      </c>
      <c r="K54" s="11" t="str">
        <f>("10622454608709")</f>
        <v>10622454608709</v>
      </c>
      <c r="L54" s="3">
        <v>4</v>
      </c>
      <c r="M54" s="3"/>
    </row>
    <row r="55" spans="1:13" x14ac:dyDescent="0.25">
      <c r="A55" s="3" t="s">
        <v>1371</v>
      </c>
      <c r="B55" s="10" t="s">
        <v>1351</v>
      </c>
      <c r="C55" s="3" t="str">
        <f>("294942")</f>
        <v>294942</v>
      </c>
      <c r="D55" s="11" t="str">
        <f>("622454608740")</f>
        <v>622454608740</v>
      </c>
      <c r="E55" s="3"/>
      <c r="F55" s="8" t="s">
        <v>61</v>
      </c>
      <c r="G55" s="14">
        <v>6646.937414976027</v>
      </c>
      <c r="H55" s="35">
        <v>45689</v>
      </c>
      <c r="I55" s="3">
        <v>47.503</v>
      </c>
      <c r="J55" s="3" t="s">
        <v>10</v>
      </c>
      <c r="K55" s="11" t="str">
        <f>("00622454608740")</f>
        <v>00622454608740</v>
      </c>
      <c r="L55" s="3">
        <v>1</v>
      </c>
      <c r="M55" s="3"/>
    </row>
    <row r="56" spans="1:13" x14ac:dyDescent="0.25">
      <c r="A56" s="3" t="s">
        <v>1371</v>
      </c>
      <c r="B56" s="10" t="s">
        <v>1351</v>
      </c>
      <c r="C56" s="3" t="str">
        <f>("294946")</f>
        <v>294946</v>
      </c>
      <c r="D56" s="11" t="str">
        <f>("622454608788")</f>
        <v>622454608788</v>
      </c>
      <c r="E56" s="3"/>
      <c r="F56" s="8" t="s">
        <v>62</v>
      </c>
      <c r="G56" s="14">
        <v>6303.7665158682703</v>
      </c>
      <c r="H56" s="35">
        <v>45689</v>
      </c>
      <c r="I56" s="3">
        <v>48.625</v>
      </c>
      <c r="J56" s="3" t="s">
        <v>10</v>
      </c>
      <c r="K56" s="11" t="str">
        <f>("00622454608788")</f>
        <v>00622454608788</v>
      </c>
      <c r="L56" s="3">
        <v>1</v>
      </c>
      <c r="M56" s="3"/>
    </row>
    <row r="57" spans="1:13" x14ac:dyDescent="0.25">
      <c r="A57" s="3" t="s">
        <v>1371</v>
      </c>
      <c r="B57" s="10" t="s">
        <v>1351</v>
      </c>
      <c r="C57" s="3" t="str">
        <f>("294950")</f>
        <v>294950</v>
      </c>
      <c r="D57" s="11" t="str">
        <f>("622454608825")</f>
        <v>622454608825</v>
      </c>
      <c r="E57" s="3"/>
      <c r="F57" s="8" t="s">
        <v>63</v>
      </c>
      <c r="G57" s="14">
        <v>6104.5059938057038</v>
      </c>
      <c r="H57" s="35">
        <v>45689</v>
      </c>
      <c r="I57" s="3">
        <v>50.259</v>
      </c>
      <c r="J57" s="3" t="s">
        <v>10</v>
      </c>
      <c r="K57" s="11" t="str">
        <f>("00622454608825")</f>
        <v>00622454608825</v>
      </c>
      <c r="L57" s="3">
        <v>1</v>
      </c>
      <c r="M57" s="3"/>
    </row>
    <row r="58" spans="1:13" x14ac:dyDescent="0.25">
      <c r="A58" s="3" t="s">
        <v>1371</v>
      </c>
      <c r="B58" s="10" t="s">
        <v>1351</v>
      </c>
      <c r="C58" s="3" t="str">
        <f>("294954")</f>
        <v>294954</v>
      </c>
      <c r="D58" s="11" t="str">
        <f>("622454608863")</f>
        <v>622454608863</v>
      </c>
      <c r="E58" s="3"/>
      <c r="F58" s="8" t="s">
        <v>64</v>
      </c>
      <c r="G58" s="14">
        <v>5352.9740247919444</v>
      </c>
      <c r="H58" s="35">
        <v>45689</v>
      </c>
      <c r="I58" s="3">
        <v>52.795999999999999</v>
      </c>
      <c r="J58" s="3" t="s">
        <v>10</v>
      </c>
      <c r="K58" s="11" t="str">
        <f>("10622454608860")</f>
        <v>10622454608860</v>
      </c>
      <c r="L58" s="3">
        <v>6</v>
      </c>
      <c r="M58" s="3"/>
    </row>
    <row r="59" spans="1:13" x14ac:dyDescent="0.25">
      <c r="A59" s="3" t="s">
        <v>1371</v>
      </c>
      <c r="B59" s="10" t="s">
        <v>1351</v>
      </c>
      <c r="C59" s="3" t="str">
        <f>("294958")</f>
        <v>294958</v>
      </c>
      <c r="D59" s="11" t="str">
        <f>("622454608900")</f>
        <v>622454608900</v>
      </c>
      <c r="E59" s="3"/>
      <c r="F59" s="8" t="s">
        <v>65</v>
      </c>
      <c r="G59" s="14">
        <v>5279.1738314354388</v>
      </c>
      <c r="H59" s="35">
        <v>45689</v>
      </c>
      <c r="I59" s="3">
        <v>54.871000000000002</v>
      </c>
      <c r="J59" s="3" t="s">
        <v>10</v>
      </c>
      <c r="K59" s="11" t="str">
        <f>("00622454608900")</f>
        <v>00622454608900</v>
      </c>
      <c r="L59" s="3">
        <v>1</v>
      </c>
      <c r="M59" s="3"/>
    </row>
    <row r="60" spans="1:13" x14ac:dyDescent="0.25">
      <c r="A60" s="3" t="s">
        <v>1371</v>
      </c>
      <c r="B60" s="10" t="s">
        <v>1351</v>
      </c>
      <c r="C60" s="3" t="str">
        <f>("294962")</f>
        <v>294962</v>
      </c>
      <c r="D60" s="11" t="str">
        <f>("622454608948")</f>
        <v>622454608948</v>
      </c>
      <c r="E60" s="3"/>
      <c r="F60" s="8" t="s">
        <v>66</v>
      </c>
      <c r="G60" s="14">
        <v>5215.2136638597985</v>
      </c>
      <c r="H60" s="35">
        <v>45689</v>
      </c>
      <c r="I60" s="3">
        <v>58.698</v>
      </c>
      <c r="J60" s="3" t="s">
        <v>10</v>
      </c>
      <c r="K60" s="11" t="str">
        <f>("00622454608948")</f>
        <v>00622454608948</v>
      </c>
      <c r="L60" s="3">
        <v>1</v>
      </c>
      <c r="M60" s="3"/>
    </row>
    <row r="61" spans="1:13" x14ac:dyDescent="0.25">
      <c r="A61" s="3" t="s">
        <v>1371</v>
      </c>
      <c r="B61" s="10" t="s">
        <v>1351</v>
      </c>
      <c r="C61" s="3" t="str">
        <f>("294966")</f>
        <v>294966</v>
      </c>
      <c r="D61" s="11" t="str">
        <f>("622454608986")</f>
        <v>622454608986</v>
      </c>
      <c r="E61" s="3"/>
      <c r="F61" s="8" t="s">
        <v>67</v>
      </c>
      <c r="G61" s="14">
        <v>4920.0128904337735</v>
      </c>
      <c r="H61" s="35">
        <v>45689</v>
      </c>
      <c r="I61" s="3">
        <v>38.094000000000001</v>
      </c>
      <c r="J61" s="3" t="s">
        <v>10</v>
      </c>
      <c r="K61" s="11" t="str">
        <f>("00622454608986")</f>
        <v>00622454608986</v>
      </c>
      <c r="L61" s="3">
        <v>1</v>
      </c>
      <c r="M61" s="3"/>
    </row>
    <row r="62" spans="1:13" x14ac:dyDescent="0.25">
      <c r="A62" s="3" t="s">
        <v>1371</v>
      </c>
      <c r="B62" s="10" t="s">
        <v>1351</v>
      </c>
      <c r="C62" s="3" t="str">
        <f>("294970")</f>
        <v>294970</v>
      </c>
      <c r="D62" s="11" t="str">
        <f>("622454609020")</f>
        <v>622454609020</v>
      </c>
      <c r="E62" s="3"/>
      <c r="F62" s="8" t="s">
        <v>68</v>
      </c>
      <c r="G62" s="14">
        <v>4348.0613919208472</v>
      </c>
      <c r="H62" s="35">
        <v>45689</v>
      </c>
      <c r="I62" s="3">
        <v>50.027000000000001</v>
      </c>
      <c r="J62" s="3" t="s">
        <v>10</v>
      </c>
      <c r="K62" s="11" t="str">
        <f>("00622454609020")</f>
        <v>00622454609020</v>
      </c>
      <c r="L62" s="3">
        <v>1</v>
      </c>
      <c r="M62" s="3"/>
    </row>
    <row r="63" spans="1:13" x14ac:dyDescent="0.25">
      <c r="A63" s="3" t="s">
        <v>1371</v>
      </c>
      <c r="B63" s="10" t="s">
        <v>1351</v>
      </c>
      <c r="C63" s="3" t="str">
        <f>("294974")</f>
        <v>294974</v>
      </c>
      <c r="D63" s="11" t="str">
        <f>("622454609068")</f>
        <v>622454609068</v>
      </c>
      <c r="E63" s="3"/>
      <c r="F63" s="8" t="s">
        <v>69</v>
      </c>
      <c r="G63" s="14">
        <v>12147.511826480984</v>
      </c>
      <c r="H63" s="35">
        <v>45689</v>
      </c>
      <c r="I63" s="3">
        <v>62.618000000000002</v>
      </c>
      <c r="J63" s="3" t="s">
        <v>10</v>
      </c>
      <c r="K63" s="11" t="str">
        <f>("00622454609068")</f>
        <v>00622454609068</v>
      </c>
      <c r="L63" s="3">
        <v>1</v>
      </c>
      <c r="M63" s="3"/>
    </row>
    <row r="64" spans="1:13" x14ac:dyDescent="0.25">
      <c r="A64" s="3" t="s">
        <v>1371</v>
      </c>
      <c r="B64" s="10" t="s">
        <v>1351</v>
      </c>
      <c r="C64" s="3" t="str">
        <f>("294978")</f>
        <v>294978</v>
      </c>
      <c r="D64" s="11" t="str">
        <f>("622454609105")</f>
        <v>622454609105</v>
      </c>
      <c r="E64" s="3"/>
      <c r="F64" s="8" t="s">
        <v>70</v>
      </c>
      <c r="G64" s="14">
        <v>12677.643215425223</v>
      </c>
      <c r="H64" s="35">
        <v>45689</v>
      </c>
      <c r="I64" s="3">
        <v>67.194999999999993</v>
      </c>
      <c r="J64" s="3" t="s">
        <v>10</v>
      </c>
      <c r="K64" s="11" t="str">
        <f>("00622454609105")</f>
        <v>00622454609105</v>
      </c>
      <c r="L64" s="3">
        <v>1</v>
      </c>
      <c r="M64" s="3"/>
    </row>
    <row r="65" spans="1:13" x14ac:dyDescent="0.25">
      <c r="A65" s="3" t="s">
        <v>1371</v>
      </c>
      <c r="B65" s="10" t="s">
        <v>1351</v>
      </c>
      <c r="C65" s="3" t="str">
        <f>("294982")</f>
        <v>294982</v>
      </c>
      <c r="D65" s="11" t="str">
        <f>("622454609150")</f>
        <v>622454609150</v>
      </c>
      <c r="E65" s="3"/>
      <c r="F65" s="8" t="s">
        <v>71</v>
      </c>
      <c r="G65" s="14">
        <v>12314.792264755732</v>
      </c>
      <c r="H65" s="35">
        <v>45689</v>
      </c>
      <c r="I65" s="3">
        <v>69.103999999999999</v>
      </c>
      <c r="J65" s="3" t="s">
        <v>10</v>
      </c>
      <c r="K65" s="11" t="str">
        <f>("00622454609150")</f>
        <v>00622454609150</v>
      </c>
      <c r="L65" s="3">
        <v>1</v>
      </c>
      <c r="M65" s="3"/>
    </row>
    <row r="66" spans="1:13" x14ac:dyDescent="0.25">
      <c r="A66" s="3" t="s">
        <v>1371</v>
      </c>
      <c r="B66" s="10" t="s">
        <v>1351</v>
      </c>
      <c r="C66" s="3" t="str">
        <f>("294986")</f>
        <v>294986</v>
      </c>
      <c r="D66" s="11" t="str">
        <f>("622454609266")</f>
        <v>622454609266</v>
      </c>
      <c r="E66" s="3"/>
      <c r="F66" s="8" t="s">
        <v>72</v>
      </c>
      <c r="G66" s="14">
        <v>10181.474675463649</v>
      </c>
      <c r="H66" s="35">
        <v>45689</v>
      </c>
      <c r="I66" s="3">
        <v>71.399000000000001</v>
      </c>
      <c r="J66" s="3" t="s">
        <v>10</v>
      </c>
      <c r="K66" s="11" t="str">
        <f>("00622454609266")</f>
        <v>00622454609266</v>
      </c>
      <c r="L66" s="3">
        <v>1</v>
      </c>
      <c r="M66" s="3"/>
    </row>
    <row r="67" spans="1:13" x14ac:dyDescent="0.25">
      <c r="A67" s="3" t="s">
        <v>1371</v>
      </c>
      <c r="B67" s="10" t="s">
        <v>1351</v>
      </c>
      <c r="C67" s="3" t="str">
        <f>("294990")</f>
        <v>294990</v>
      </c>
      <c r="D67" s="11" t="str">
        <f>("622454609310")</f>
        <v>622454609310</v>
      </c>
      <c r="E67" s="3"/>
      <c r="F67" s="8" t="s">
        <v>73</v>
      </c>
      <c r="G67" s="14">
        <v>9845.8436961104835</v>
      </c>
      <c r="H67" s="35">
        <v>45689</v>
      </c>
      <c r="I67" s="3">
        <v>74.921999999999997</v>
      </c>
      <c r="J67" s="3" t="s">
        <v>10</v>
      </c>
      <c r="K67" s="11" t="str">
        <f>("00622454609310")</f>
        <v>00622454609310</v>
      </c>
      <c r="L67" s="3">
        <v>1</v>
      </c>
      <c r="M67" s="3"/>
    </row>
    <row r="68" spans="1:13" x14ac:dyDescent="0.25">
      <c r="A68" s="3" t="s">
        <v>1371</v>
      </c>
      <c r="B68" s="10" t="s">
        <v>1351</v>
      </c>
      <c r="C68" s="3" t="str">
        <f>("294994")</f>
        <v>294994</v>
      </c>
      <c r="D68" s="11" t="str">
        <f>("622454609358")</f>
        <v>622454609358</v>
      </c>
      <c r="E68" s="3"/>
      <c r="F68" s="8" t="s">
        <v>74</v>
      </c>
      <c r="G68" s="14">
        <v>9396.48</v>
      </c>
      <c r="H68" s="35">
        <v>45689</v>
      </c>
      <c r="I68" s="3">
        <v>77.301000000000002</v>
      </c>
      <c r="J68" s="3" t="s">
        <v>10</v>
      </c>
      <c r="K68" s="11" t="str">
        <f>("00622454609358")</f>
        <v>00622454609358</v>
      </c>
      <c r="L68" s="3">
        <v>1</v>
      </c>
      <c r="M68" s="3"/>
    </row>
    <row r="69" spans="1:13" x14ac:dyDescent="0.25">
      <c r="A69" s="3" t="s">
        <v>1371</v>
      </c>
      <c r="B69" s="10" t="s">
        <v>1351</v>
      </c>
      <c r="C69" s="3" t="str">
        <f>("294998")</f>
        <v>294998</v>
      </c>
      <c r="D69" s="11" t="str">
        <f>("622454609396")</f>
        <v>622454609396</v>
      </c>
      <c r="E69" s="3"/>
      <c r="F69" s="8" t="s">
        <v>75</v>
      </c>
      <c r="G69" s="14">
        <v>8572.3844596472827</v>
      </c>
      <c r="H69" s="35">
        <v>45689</v>
      </c>
      <c r="I69" s="3">
        <v>84.947999999999993</v>
      </c>
      <c r="J69" s="3" t="s">
        <v>10</v>
      </c>
      <c r="K69" s="11" t="str">
        <f>("00622454609396")</f>
        <v>00622454609396</v>
      </c>
      <c r="L69" s="3">
        <v>1</v>
      </c>
      <c r="M69" s="3"/>
    </row>
    <row r="70" spans="1:13" x14ac:dyDescent="0.25">
      <c r="A70" s="3" t="s">
        <v>1371</v>
      </c>
      <c r="B70" s="10" t="s">
        <v>1351</v>
      </c>
      <c r="C70" s="3" t="str">
        <f>("295002")</f>
        <v>295002</v>
      </c>
      <c r="D70" s="11" t="str">
        <f>("622454609433")</f>
        <v>622454609433</v>
      </c>
      <c r="E70" s="3"/>
      <c r="F70" s="8" t="s">
        <v>76</v>
      </c>
      <c r="G70" s="14">
        <v>7590.6819875868077</v>
      </c>
      <c r="H70" s="35">
        <v>45689</v>
      </c>
      <c r="I70" s="3">
        <v>58.792999999999999</v>
      </c>
      <c r="J70" s="3" t="s">
        <v>10</v>
      </c>
      <c r="K70" s="11" t="str">
        <f>("00622454609433")</f>
        <v>00622454609433</v>
      </c>
      <c r="L70" s="3">
        <v>1</v>
      </c>
      <c r="M70" s="3"/>
    </row>
    <row r="71" spans="1:13" x14ac:dyDescent="0.25">
      <c r="A71" s="3" t="s">
        <v>1371</v>
      </c>
      <c r="B71" s="10" t="s">
        <v>1351</v>
      </c>
      <c r="C71" s="3" t="str">
        <f>("295006")</f>
        <v>295006</v>
      </c>
      <c r="D71" s="11" t="str">
        <f>("622454609471")</f>
        <v>622454609471</v>
      </c>
      <c r="E71" s="3"/>
      <c r="F71" s="8" t="s">
        <v>77</v>
      </c>
      <c r="G71" s="14">
        <v>5706.3170505506732</v>
      </c>
      <c r="H71" s="35">
        <v>45689</v>
      </c>
      <c r="I71" s="3">
        <v>66.918999999999997</v>
      </c>
      <c r="J71" s="3" t="s">
        <v>10</v>
      </c>
      <c r="K71" s="11" t="str">
        <f>("00622454609471")</f>
        <v>00622454609471</v>
      </c>
      <c r="L71" s="3">
        <v>1</v>
      </c>
      <c r="M71" s="3"/>
    </row>
    <row r="72" spans="1:13" x14ac:dyDescent="0.25">
      <c r="A72" s="3" t="s">
        <v>1371</v>
      </c>
      <c r="B72" s="10" t="s">
        <v>1351</v>
      </c>
      <c r="C72" s="3" t="str">
        <f>("295011")</f>
        <v>295011</v>
      </c>
      <c r="D72" s="11" t="str">
        <f>("622454609525")</f>
        <v>622454609525</v>
      </c>
      <c r="E72" s="3"/>
      <c r="F72" s="8" t="s">
        <v>78</v>
      </c>
      <c r="G72" s="14">
        <v>209.26044826237441</v>
      </c>
      <c r="H72" s="35">
        <v>45689</v>
      </c>
      <c r="I72" s="3">
        <v>2.4489999999999998</v>
      </c>
      <c r="J72" s="3" t="s">
        <v>10</v>
      </c>
      <c r="K72" s="11" t="str">
        <f>("00622454609525")</f>
        <v>00622454609525</v>
      </c>
      <c r="L72" s="3">
        <v>1</v>
      </c>
      <c r="M72" s="3"/>
    </row>
    <row r="73" spans="1:13" x14ac:dyDescent="0.25">
      <c r="A73" s="3" t="s">
        <v>1371</v>
      </c>
      <c r="B73" s="10" t="s">
        <v>1351</v>
      </c>
      <c r="C73" s="3" t="str">
        <f>("295013")</f>
        <v>295013</v>
      </c>
      <c r="D73" s="11" t="str">
        <f>("622454609549")</f>
        <v>622454609549</v>
      </c>
      <c r="E73" s="3"/>
      <c r="F73" s="8" t="s">
        <v>79</v>
      </c>
      <c r="G73" s="14">
        <v>348.42301286829371</v>
      </c>
      <c r="H73" s="35">
        <v>45689</v>
      </c>
      <c r="I73" s="3">
        <v>5.452</v>
      </c>
      <c r="J73" s="3" t="s">
        <v>10</v>
      </c>
      <c r="K73" s="11" t="str">
        <f>("00622454609549")</f>
        <v>00622454609549</v>
      </c>
      <c r="L73" s="3">
        <v>1</v>
      </c>
      <c r="M73" s="3"/>
    </row>
    <row r="74" spans="1:13" x14ac:dyDescent="0.25">
      <c r="A74" s="3" t="s">
        <v>1371</v>
      </c>
      <c r="B74" s="10" t="s">
        <v>1351</v>
      </c>
      <c r="C74" s="3" t="str">
        <f>("295018")</f>
        <v>295018</v>
      </c>
      <c r="D74" s="11" t="str">
        <f>("622454609594")</f>
        <v>622454609594</v>
      </c>
      <c r="E74" s="3"/>
      <c r="F74" s="8" t="s">
        <v>80</v>
      </c>
      <c r="G74" s="14">
        <v>854.36023842382463</v>
      </c>
      <c r="H74" s="35">
        <v>45689</v>
      </c>
      <c r="I74" s="3">
        <v>7.2069999999999999</v>
      </c>
      <c r="J74" s="3" t="s">
        <v>10</v>
      </c>
      <c r="K74" s="11" t="str">
        <f>("00622454609594")</f>
        <v>00622454609594</v>
      </c>
      <c r="L74" s="3">
        <v>1</v>
      </c>
      <c r="M74" s="3"/>
    </row>
    <row r="75" spans="1:13" x14ac:dyDescent="0.25">
      <c r="A75" s="3" t="s">
        <v>1371</v>
      </c>
      <c r="B75" s="10" t="s">
        <v>1351</v>
      </c>
      <c r="C75" s="3" t="str">
        <f>("295028")</f>
        <v>295028</v>
      </c>
      <c r="D75" s="11" t="str">
        <f>("622454609716")</f>
        <v>622454609716</v>
      </c>
      <c r="E75" s="3"/>
      <c r="F75" s="8" t="s">
        <v>81</v>
      </c>
      <c r="G75" s="14">
        <v>868.7143760316651</v>
      </c>
      <c r="H75" s="35">
        <v>45689</v>
      </c>
      <c r="I75" s="3">
        <v>12.842000000000001</v>
      </c>
      <c r="J75" s="3" t="s">
        <v>10</v>
      </c>
      <c r="K75" s="11" t="str">
        <f>("00622454609716")</f>
        <v>00622454609716</v>
      </c>
      <c r="L75" s="3">
        <v>1</v>
      </c>
      <c r="M75" s="3"/>
    </row>
    <row r="76" spans="1:13" x14ac:dyDescent="0.25">
      <c r="A76" s="3" t="s">
        <v>1371</v>
      </c>
      <c r="B76" s="10" t="s">
        <v>1351</v>
      </c>
      <c r="C76" s="3" t="str">
        <f>("295058")</f>
        <v>295058</v>
      </c>
      <c r="D76" s="11" t="str">
        <f>("622454610019")</f>
        <v>622454610019</v>
      </c>
      <c r="E76" s="3"/>
      <c r="F76" s="8" t="s">
        <v>82</v>
      </c>
      <c r="G76" s="14">
        <v>1977.0210797952291</v>
      </c>
      <c r="H76" s="35">
        <v>45689</v>
      </c>
      <c r="I76" s="3">
        <v>24.105</v>
      </c>
      <c r="J76" s="3" t="s">
        <v>10</v>
      </c>
      <c r="K76" s="11" t="str">
        <f>("00622454610019")</f>
        <v>00622454610019</v>
      </c>
      <c r="L76" s="3">
        <v>1</v>
      </c>
      <c r="M76" s="3"/>
    </row>
    <row r="77" spans="1:13" x14ac:dyDescent="0.25">
      <c r="A77" s="3" t="s">
        <v>1371</v>
      </c>
      <c r="B77" s="10" t="s">
        <v>1351</v>
      </c>
      <c r="C77" s="3" t="str">
        <f>("295069")</f>
        <v>295069</v>
      </c>
      <c r="D77" s="11" t="str">
        <f>("622454610125")</f>
        <v>622454610125</v>
      </c>
      <c r="E77" s="3"/>
      <c r="F77" s="8" t="s">
        <v>83</v>
      </c>
      <c r="G77" s="14">
        <v>2683.7071313126839</v>
      </c>
      <c r="H77" s="35">
        <v>45689</v>
      </c>
      <c r="I77" s="3">
        <v>37.037999999999997</v>
      </c>
      <c r="J77" s="3" t="s">
        <v>10</v>
      </c>
      <c r="K77" s="11" t="str">
        <f>("00622454610125")</f>
        <v>00622454610125</v>
      </c>
      <c r="L77" s="3">
        <v>1</v>
      </c>
      <c r="M77" s="3"/>
    </row>
    <row r="78" spans="1:13" x14ac:dyDescent="0.25">
      <c r="A78" s="3" t="s">
        <v>1371</v>
      </c>
      <c r="B78" s="10" t="s">
        <v>1351</v>
      </c>
      <c r="C78" s="3" t="str">
        <f>("295014")</f>
        <v>295014</v>
      </c>
      <c r="D78" s="11" t="str">
        <f>("622454609556")</f>
        <v>622454609556</v>
      </c>
      <c r="E78" s="3"/>
      <c r="F78" s="8" t="s">
        <v>84</v>
      </c>
      <c r="G78" s="14">
        <v>985.23258130936301</v>
      </c>
      <c r="H78" s="35">
        <v>45689</v>
      </c>
      <c r="I78" s="3">
        <v>14.859</v>
      </c>
      <c r="J78" s="3" t="s">
        <v>10</v>
      </c>
      <c r="K78" s="11" t="str">
        <f>("00622454609556")</f>
        <v>00622454609556</v>
      </c>
      <c r="L78" s="3">
        <v>1</v>
      </c>
      <c r="M78" s="3"/>
    </row>
    <row r="79" spans="1:13" x14ac:dyDescent="0.25">
      <c r="A79" s="3" t="s">
        <v>1371</v>
      </c>
      <c r="B79" s="10" t="s">
        <v>1351</v>
      </c>
      <c r="C79" s="3" t="str">
        <f>("295019")</f>
        <v>295019</v>
      </c>
      <c r="D79" s="11" t="str">
        <f>("622454609600")</f>
        <v>622454609600</v>
      </c>
      <c r="E79" s="3"/>
      <c r="F79" s="8" t="s">
        <v>85</v>
      </c>
      <c r="G79" s="14">
        <v>1838.76871757404</v>
      </c>
      <c r="H79" s="35">
        <v>45689</v>
      </c>
      <c r="I79" s="3">
        <v>31.004000000000001</v>
      </c>
      <c r="J79" s="3" t="s">
        <v>10</v>
      </c>
      <c r="K79" s="11" t="str">
        <f>("10622454609607")</f>
        <v>10622454609607</v>
      </c>
      <c r="L79" s="3">
        <v>2</v>
      </c>
      <c r="M79" s="3">
        <v>36</v>
      </c>
    </row>
    <row r="80" spans="1:13" x14ac:dyDescent="0.25">
      <c r="A80" s="3" t="s">
        <v>1371</v>
      </c>
      <c r="B80" s="10" t="s">
        <v>1351</v>
      </c>
      <c r="C80" s="3" t="str">
        <f>("295023")</f>
        <v>295023</v>
      </c>
      <c r="D80" s="11" t="str">
        <f>("622454609648")</f>
        <v>622454609648</v>
      </c>
      <c r="E80" s="3"/>
      <c r="F80" s="8" t="s">
        <v>86</v>
      </c>
      <c r="G80" s="14">
        <v>1510.8498584266288</v>
      </c>
      <c r="H80" s="35">
        <v>45689</v>
      </c>
      <c r="I80" s="3">
        <v>31.78</v>
      </c>
      <c r="J80" s="3" t="s">
        <v>10</v>
      </c>
      <c r="K80" s="11" t="str">
        <f>("00622454609648")</f>
        <v>00622454609648</v>
      </c>
      <c r="L80" s="3">
        <v>1</v>
      </c>
      <c r="M80" s="3"/>
    </row>
    <row r="81" spans="1:13" x14ac:dyDescent="0.25">
      <c r="A81" s="3" t="s">
        <v>1371</v>
      </c>
      <c r="B81" s="10" t="s">
        <v>1351</v>
      </c>
      <c r="C81" s="3" t="str">
        <f>("295029")</f>
        <v>295029</v>
      </c>
      <c r="D81" s="11" t="str">
        <f>("622454609723")</f>
        <v>622454609723</v>
      </c>
      <c r="E81" s="3"/>
      <c r="F81" s="8" t="s">
        <v>87</v>
      </c>
      <c r="G81" s="14">
        <v>3105.758137086319</v>
      </c>
      <c r="H81" s="35">
        <v>45689</v>
      </c>
      <c r="I81" s="3">
        <v>15.906000000000001</v>
      </c>
      <c r="J81" s="3" t="s">
        <v>10</v>
      </c>
      <c r="K81" s="11" t="str">
        <f>("00622454609723")</f>
        <v>00622454609723</v>
      </c>
      <c r="L81" s="3">
        <v>1</v>
      </c>
      <c r="M81" s="3"/>
    </row>
    <row r="82" spans="1:13" x14ac:dyDescent="0.25">
      <c r="A82" s="3" t="s">
        <v>1371</v>
      </c>
      <c r="B82" s="10" t="s">
        <v>1351</v>
      </c>
      <c r="C82" s="3" t="str">
        <f>("295033")</f>
        <v>295033</v>
      </c>
      <c r="D82" s="11" t="str">
        <f>("622454609761")</f>
        <v>622454609761</v>
      </c>
      <c r="E82" s="3"/>
      <c r="F82" s="8" t="s">
        <v>88</v>
      </c>
      <c r="G82" s="14">
        <v>3068.8580404080658</v>
      </c>
      <c r="H82" s="35">
        <v>45689</v>
      </c>
      <c r="I82" s="3">
        <v>18.271999999999998</v>
      </c>
      <c r="J82" s="3" t="s">
        <v>10</v>
      </c>
      <c r="K82" s="11" t="str">
        <f>("00622454609761")</f>
        <v>00622454609761</v>
      </c>
      <c r="L82" s="3">
        <v>1</v>
      </c>
      <c r="M82" s="3"/>
    </row>
    <row r="83" spans="1:13" x14ac:dyDescent="0.25">
      <c r="A83" s="3" t="s">
        <v>1371</v>
      </c>
      <c r="B83" s="10" t="s">
        <v>1351</v>
      </c>
      <c r="C83" s="3" t="str">
        <f>("295037")</f>
        <v>295037</v>
      </c>
      <c r="D83" s="11" t="str">
        <f>("622454609808")</f>
        <v>622454609808</v>
      </c>
      <c r="E83" s="3"/>
      <c r="F83" s="8" t="s">
        <v>89</v>
      </c>
      <c r="G83" s="14">
        <v>2514.1265870116576</v>
      </c>
      <c r="H83" s="35">
        <v>45689</v>
      </c>
      <c r="I83" s="3">
        <v>21.927</v>
      </c>
      <c r="J83" s="3" t="s">
        <v>10</v>
      </c>
      <c r="K83" s="11" t="str">
        <f>("00622454609808")</f>
        <v>00622454609808</v>
      </c>
      <c r="L83" s="3">
        <v>1</v>
      </c>
      <c r="M83" s="3"/>
    </row>
    <row r="84" spans="1:13" x14ac:dyDescent="0.25">
      <c r="A84" s="3" t="s">
        <v>1371</v>
      </c>
      <c r="B84" s="10" t="s">
        <v>1351</v>
      </c>
      <c r="C84" s="3" t="str">
        <f>("295042")</f>
        <v>295042</v>
      </c>
      <c r="D84" s="11" t="str">
        <f>("622454609853")</f>
        <v>622454609853</v>
      </c>
      <c r="E84" s="3"/>
      <c r="F84" s="8" t="s">
        <v>90</v>
      </c>
      <c r="G84" s="14">
        <v>3425.8418757057138</v>
      </c>
      <c r="H84" s="35">
        <v>45689</v>
      </c>
      <c r="I84" s="3">
        <v>20.792000000000002</v>
      </c>
      <c r="J84" s="3" t="s">
        <v>10</v>
      </c>
      <c r="K84" s="11" t="str">
        <f>("00622454609853")</f>
        <v>00622454609853</v>
      </c>
      <c r="L84" s="3">
        <v>1</v>
      </c>
      <c r="M84" s="3"/>
    </row>
    <row r="85" spans="1:13" x14ac:dyDescent="0.25">
      <c r="A85" s="3" t="s">
        <v>1371</v>
      </c>
      <c r="B85" s="10" t="s">
        <v>1351</v>
      </c>
      <c r="C85" s="3" t="str">
        <f>("295046")</f>
        <v>295046</v>
      </c>
      <c r="D85" s="11" t="str">
        <f>("622454609891")</f>
        <v>622454609891</v>
      </c>
      <c r="E85" s="3"/>
      <c r="F85" s="8" t="s">
        <v>91</v>
      </c>
      <c r="G85" s="14">
        <v>3207.1104026292551</v>
      </c>
      <c r="H85" s="35">
        <v>45689</v>
      </c>
      <c r="I85" s="3">
        <v>25.216000000000001</v>
      </c>
      <c r="J85" s="3" t="s">
        <v>10</v>
      </c>
      <c r="K85" s="11" t="str">
        <f>("00622454609891")</f>
        <v>00622454609891</v>
      </c>
      <c r="L85" s="3">
        <v>1</v>
      </c>
      <c r="M85" s="3"/>
    </row>
    <row r="86" spans="1:13" x14ac:dyDescent="0.25">
      <c r="A86" s="3" t="s">
        <v>1371</v>
      </c>
      <c r="B86" s="10" t="s">
        <v>1351</v>
      </c>
      <c r="C86" s="3" t="str">
        <f>("295050")</f>
        <v>295050</v>
      </c>
      <c r="D86" s="11" t="str">
        <f>("622454609938")</f>
        <v>622454609938</v>
      </c>
      <c r="E86" s="3"/>
      <c r="F86" s="8" t="s">
        <v>92</v>
      </c>
      <c r="G86" s="14">
        <v>3162.2521851007245</v>
      </c>
      <c r="H86" s="35">
        <v>45689</v>
      </c>
      <c r="I86" s="3">
        <v>27.297999999999998</v>
      </c>
      <c r="J86" s="3" t="s">
        <v>10</v>
      </c>
      <c r="K86" s="11" t="str">
        <f>("00622454609938")</f>
        <v>00622454609938</v>
      </c>
      <c r="L86" s="3">
        <v>1</v>
      </c>
      <c r="M86" s="3"/>
    </row>
    <row r="87" spans="1:13" x14ac:dyDescent="0.25">
      <c r="A87" s="3" t="s">
        <v>1371</v>
      </c>
      <c r="B87" s="10" t="s">
        <v>1351</v>
      </c>
      <c r="C87" s="3" t="str">
        <f>("295054")</f>
        <v>295054</v>
      </c>
      <c r="D87" s="11" t="str">
        <f>("622454609976")</f>
        <v>622454609976</v>
      </c>
      <c r="E87" s="3"/>
      <c r="F87" s="8" t="s">
        <v>93</v>
      </c>
      <c r="G87" s="14">
        <v>2338.3222264042329</v>
      </c>
      <c r="H87" s="35">
        <v>45689</v>
      </c>
      <c r="I87" s="3">
        <v>29.712</v>
      </c>
      <c r="J87" s="3" t="s">
        <v>10</v>
      </c>
      <c r="K87" s="11" t="str">
        <f>("00622454609976")</f>
        <v>00622454609976</v>
      </c>
      <c r="L87" s="3">
        <v>1</v>
      </c>
      <c r="M87" s="3"/>
    </row>
    <row r="88" spans="1:13" x14ac:dyDescent="0.25">
      <c r="A88" s="3" t="s">
        <v>1371</v>
      </c>
      <c r="B88" s="10" t="s">
        <v>1351</v>
      </c>
      <c r="C88" s="3" t="str">
        <f>("295059")</f>
        <v>295059</v>
      </c>
      <c r="D88" s="11" t="str">
        <f>("622454610026")</f>
        <v>622454610026</v>
      </c>
      <c r="E88" s="3"/>
      <c r="F88" s="8" t="s">
        <v>94</v>
      </c>
      <c r="G88" s="14">
        <v>5842.8843083568881</v>
      </c>
      <c r="H88" s="35">
        <v>45689</v>
      </c>
      <c r="I88" s="3">
        <v>30.138999999999999</v>
      </c>
      <c r="J88" s="3" t="s">
        <v>10</v>
      </c>
      <c r="K88" s="11" t="str">
        <f>("00622454610026")</f>
        <v>00622454610026</v>
      </c>
      <c r="L88" s="3">
        <v>1</v>
      </c>
      <c r="M88" s="3"/>
    </row>
    <row r="89" spans="1:13" x14ac:dyDescent="0.25">
      <c r="A89" s="3" t="s">
        <v>1371</v>
      </c>
      <c r="B89" s="10" t="s">
        <v>1351</v>
      </c>
      <c r="C89" s="3" t="str">
        <f>("295061")</f>
        <v>295061</v>
      </c>
      <c r="D89" s="11" t="str">
        <f>("622454610040")</f>
        <v>622454610040</v>
      </c>
      <c r="E89" s="3"/>
      <c r="F89" s="8" t="s">
        <v>95</v>
      </c>
      <c r="G89" s="14">
        <v>4558.4780432124735</v>
      </c>
      <c r="H89" s="35">
        <v>45689</v>
      </c>
      <c r="I89" s="3">
        <v>31.018999999999998</v>
      </c>
      <c r="J89" s="3" t="s">
        <v>10</v>
      </c>
      <c r="K89" s="11" t="str">
        <f>("00622454610040")</f>
        <v>00622454610040</v>
      </c>
      <c r="L89" s="3">
        <v>1</v>
      </c>
      <c r="M89" s="3"/>
    </row>
    <row r="90" spans="1:13" x14ac:dyDescent="0.25">
      <c r="A90" s="3" t="s">
        <v>1371</v>
      </c>
      <c r="B90" s="10" t="s">
        <v>1351</v>
      </c>
      <c r="C90" s="3" t="str">
        <f>("295063")</f>
        <v>295063</v>
      </c>
      <c r="D90" s="11" t="str">
        <f>("622454610064")</f>
        <v>622454610064</v>
      </c>
      <c r="E90" s="3"/>
      <c r="F90" s="8" t="s">
        <v>96</v>
      </c>
      <c r="G90" s="14">
        <v>4490.7417657434253</v>
      </c>
      <c r="H90" s="35">
        <v>45689</v>
      </c>
      <c r="I90" s="3">
        <v>32.506999999999998</v>
      </c>
      <c r="J90" s="3" t="s">
        <v>10</v>
      </c>
      <c r="K90" s="11" t="str">
        <f>("00622454610064")</f>
        <v>00622454610064</v>
      </c>
      <c r="L90" s="3">
        <v>1</v>
      </c>
      <c r="M90" s="3"/>
    </row>
    <row r="91" spans="1:13" x14ac:dyDescent="0.25">
      <c r="A91" s="3" t="s">
        <v>1371</v>
      </c>
      <c r="B91" s="10" t="s">
        <v>1351</v>
      </c>
      <c r="C91" s="3" t="str">
        <f>("295065")</f>
        <v>295065</v>
      </c>
      <c r="D91" s="11" t="str">
        <f>("622454610088")</f>
        <v>622454610088</v>
      </c>
      <c r="E91" s="3"/>
      <c r="F91" s="8" t="s">
        <v>97</v>
      </c>
      <c r="G91" s="14">
        <v>4169.7109246426226</v>
      </c>
      <c r="H91" s="35">
        <v>45689</v>
      </c>
      <c r="I91" s="3">
        <v>35.86</v>
      </c>
      <c r="J91" s="3" t="s">
        <v>10</v>
      </c>
      <c r="K91" s="11" t="str">
        <f>("00622454610088")</f>
        <v>00622454610088</v>
      </c>
      <c r="L91" s="3">
        <v>1</v>
      </c>
      <c r="M91" s="3"/>
    </row>
    <row r="92" spans="1:13" x14ac:dyDescent="0.25">
      <c r="A92" s="3" t="s">
        <v>1371</v>
      </c>
      <c r="B92" s="10" t="s">
        <v>1351</v>
      </c>
      <c r="C92" s="3" t="str">
        <f>("295067")</f>
        <v>295067</v>
      </c>
      <c r="D92" s="11" t="str">
        <f>("622454610101")</f>
        <v>622454610101</v>
      </c>
      <c r="E92" s="3"/>
      <c r="F92" s="8" t="s">
        <v>98</v>
      </c>
      <c r="G92" s="14">
        <v>3762.5798579592274</v>
      </c>
      <c r="H92" s="35">
        <v>45689</v>
      </c>
      <c r="I92" s="3">
        <v>38.595999999999997</v>
      </c>
      <c r="J92" s="3" t="s">
        <v>10</v>
      </c>
      <c r="K92" s="11" t="str">
        <f>("00622454610101")</f>
        <v>00622454610101</v>
      </c>
      <c r="L92" s="3">
        <v>1</v>
      </c>
      <c r="M92" s="3"/>
    </row>
    <row r="93" spans="1:13" x14ac:dyDescent="0.25">
      <c r="A93" s="3" t="s">
        <v>1371</v>
      </c>
      <c r="B93" s="10" t="s">
        <v>1351</v>
      </c>
      <c r="C93" s="3" t="str">
        <f>("295070")</f>
        <v>295070</v>
      </c>
      <c r="D93" s="11" t="str">
        <f>("622454610132")</f>
        <v>622454610132</v>
      </c>
      <c r="E93" s="3"/>
      <c r="F93" s="8" t="s">
        <v>99</v>
      </c>
      <c r="G93" s="14">
        <v>7012.0638716073445</v>
      </c>
      <c r="H93" s="35">
        <v>45689</v>
      </c>
      <c r="I93" s="3">
        <v>52.289000000000001</v>
      </c>
      <c r="J93" s="3" t="s">
        <v>10</v>
      </c>
      <c r="K93" s="11" t="str">
        <f>("00622454610132")</f>
        <v>00622454610132</v>
      </c>
      <c r="L93" s="3">
        <v>1</v>
      </c>
      <c r="M93" s="3"/>
    </row>
    <row r="94" spans="1:13" x14ac:dyDescent="0.25">
      <c r="A94" s="3" t="s">
        <v>1371</v>
      </c>
      <c r="B94" s="10" t="s">
        <v>1351</v>
      </c>
      <c r="C94" s="3" t="str">
        <f>("295072")</f>
        <v>295072</v>
      </c>
      <c r="D94" s="11" t="str">
        <f>("622454610156")</f>
        <v>622454610156</v>
      </c>
      <c r="E94" s="3"/>
      <c r="F94" s="8" t="s">
        <v>100</v>
      </c>
      <c r="G94" s="14">
        <v>7387.3009547285019</v>
      </c>
      <c r="H94" s="35">
        <v>45689</v>
      </c>
      <c r="I94" s="3">
        <v>53.168999999999997</v>
      </c>
      <c r="J94" s="3" t="s">
        <v>10</v>
      </c>
      <c r="K94" s="11" t="str">
        <f>("00622454610156")</f>
        <v>00622454610156</v>
      </c>
      <c r="L94" s="3">
        <v>1</v>
      </c>
      <c r="M94" s="3"/>
    </row>
    <row r="95" spans="1:13" x14ac:dyDescent="0.25">
      <c r="A95" s="3" t="s">
        <v>1371</v>
      </c>
      <c r="B95" s="10" t="s">
        <v>1351</v>
      </c>
      <c r="C95" s="3" t="str">
        <f>("295074")</f>
        <v>295074</v>
      </c>
      <c r="D95" s="11" t="str">
        <f>("622454610170")</f>
        <v>622454610170</v>
      </c>
      <c r="E95" s="3"/>
      <c r="F95" s="8" t="s">
        <v>101</v>
      </c>
      <c r="G95" s="14">
        <v>7587.6930797558689</v>
      </c>
      <c r="H95" s="35">
        <v>45689</v>
      </c>
      <c r="I95" s="3">
        <v>54.441000000000003</v>
      </c>
      <c r="J95" s="3" t="s">
        <v>10</v>
      </c>
      <c r="K95" s="11" t="str">
        <f>("00622454610170")</f>
        <v>00622454610170</v>
      </c>
      <c r="L95" s="3">
        <v>1</v>
      </c>
      <c r="M95" s="3"/>
    </row>
    <row r="96" spans="1:13" x14ac:dyDescent="0.25">
      <c r="A96" s="3" t="s">
        <v>1371</v>
      </c>
      <c r="B96" s="10" t="s">
        <v>1351</v>
      </c>
      <c r="C96" s="3" t="str">
        <f>("295076")</f>
        <v>295076</v>
      </c>
      <c r="D96" s="11" t="str">
        <f>("622454610194")</f>
        <v>622454610194</v>
      </c>
      <c r="E96" s="3"/>
      <c r="F96" s="8" t="s">
        <v>102</v>
      </c>
      <c r="G96" s="14">
        <v>7764.2723423935367</v>
      </c>
      <c r="H96" s="35">
        <v>45689</v>
      </c>
      <c r="I96" s="3">
        <v>52.203000000000003</v>
      </c>
      <c r="J96" s="3" t="s">
        <v>10</v>
      </c>
      <c r="K96" s="11" t="str">
        <f>("00622454610194")</f>
        <v>00622454610194</v>
      </c>
      <c r="L96" s="3">
        <v>1</v>
      </c>
      <c r="M96" s="3"/>
    </row>
    <row r="97" spans="1:13" x14ac:dyDescent="0.25">
      <c r="A97" s="3" t="s">
        <v>1371</v>
      </c>
      <c r="B97" s="10" t="s">
        <v>1351</v>
      </c>
      <c r="C97" s="3" t="str">
        <f>("295078")</f>
        <v>295078</v>
      </c>
      <c r="D97" s="11" t="str">
        <f>("622454610217")</f>
        <v>622454610217</v>
      </c>
      <c r="E97" s="3"/>
      <c r="F97" s="8" t="s">
        <v>103</v>
      </c>
      <c r="G97" s="14">
        <v>7869.9296192156035</v>
      </c>
      <c r="H97" s="35">
        <v>45689</v>
      </c>
      <c r="I97" s="3">
        <v>54.817999999999998</v>
      </c>
      <c r="J97" s="3" t="s">
        <v>10</v>
      </c>
      <c r="K97" s="11" t="str">
        <f>("00622454610217")</f>
        <v>00622454610217</v>
      </c>
      <c r="L97" s="3">
        <v>1</v>
      </c>
      <c r="M97" s="3"/>
    </row>
    <row r="98" spans="1:13" x14ac:dyDescent="0.25">
      <c r="A98" s="3" t="s">
        <v>1371</v>
      </c>
      <c r="B98" s="10" t="s">
        <v>1351</v>
      </c>
      <c r="C98" s="3" t="str">
        <f>("295080")</f>
        <v>295080</v>
      </c>
      <c r="D98" s="11" t="str">
        <f>("622454610231")</f>
        <v>622454610231</v>
      </c>
      <c r="E98" s="3"/>
      <c r="F98" s="8" t="s">
        <v>104</v>
      </c>
      <c r="G98" s="14">
        <v>8374.8459420963682</v>
      </c>
      <c r="H98" s="35">
        <v>45689</v>
      </c>
      <c r="I98" s="3">
        <v>63.566000000000003</v>
      </c>
      <c r="J98" s="3" t="s">
        <v>10</v>
      </c>
      <c r="K98" s="11" t="str">
        <f>("00622454610231")</f>
        <v>00622454610231</v>
      </c>
      <c r="L98" s="3">
        <v>1</v>
      </c>
      <c r="M98" s="3"/>
    </row>
    <row r="99" spans="1:13" x14ac:dyDescent="0.25">
      <c r="A99" s="3" t="s">
        <v>1371</v>
      </c>
      <c r="B99" s="10" t="s">
        <v>1351</v>
      </c>
      <c r="C99" s="3" t="str">
        <f>("295083")</f>
        <v>295083</v>
      </c>
      <c r="D99" s="11" t="str">
        <f>("622454610262")</f>
        <v>622454610262</v>
      </c>
      <c r="E99" s="3"/>
      <c r="F99" s="8" t="s">
        <v>105</v>
      </c>
      <c r="G99" s="14">
        <v>12814.567174165995</v>
      </c>
      <c r="H99" s="35">
        <v>45689</v>
      </c>
      <c r="I99" s="3">
        <v>52.289000000000001</v>
      </c>
      <c r="J99" s="3" t="s">
        <v>10</v>
      </c>
      <c r="K99" s="11" t="str">
        <f>("00622454610262")</f>
        <v>00622454610262</v>
      </c>
      <c r="L99" s="3">
        <v>1</v>
      </c>
      <c r="M99" s="3"/>
    </row>
    <row r="100" spans="1:13" x14ac:dyDescent="0.25">
      <c r="A100" s="3" t="s">
        <v>1371</v>
      </c>
      <c r="B100" s="10" t="s">
        <v>1351</v>
      </c>
      <c r="C100" s="3" t="str">
        <f>("295085")</f>
        <v>295085</v>
      </c>
      <c r="D100" s="11" t="str">
        <f>("622454610286")</f>
        <v>622454610286</v>
      </c>
      <c r="E100" s="3"/>
      <c r="F100" s="8" t="s">
        <v>106</v>
      </c>
      <c r="G100" s="14">
        <v>12898.650194463509</v>
      </c>
      <c r="H100" s="35">
        <v>45689</v>
      </c>
      <c r="I100" s="3">
        <v>53.168999999999997</v>
      </c>
      <c r="J100" s="3" t="s">
        <v>10</v>
      </c>
      <c r="K100" s="11" t="str">
        <f>("00622454610286")</f>
        <v>00622454610286</v>
      </c>
      <c r="L100" s="3">
        <v>1</v>
      </c>
      <c r="M100" s="3"/>
    </row>
    <row r="101" spans="1:13" x14ac:dyDescent="0.25">
      <c r="A101" s="3" t="s">
        <v>1371</v>
      </c>
      <c r="B101" s="10" t="s">
        <v>1351</v>
      </c>
      <c r="C101" s="3" t="str">
        <f>("295087")</f>
        <v>295087</v>
      </c>
      <c r="D101" s="11" t="str">
        <f>("622454610309")</f>
        <v>622454610309</v>
      </c>
      <c r="E101" s="3"/>
      <c r="F101" s="8" t="s">
        <v>107</v>
      </c>
      <c r="G101" s="14">
        <v>13045.377278888469</v>
      </c>
      <c r="H101" s="35">
        <v>45689</v>
      </c>
      <c r="I101" s="3">
        <v>111.496</v>
      </c>
      <c r="J101" s="3" t="s">
        <v>10</v>
      </c>
      <c r="K101" s="11" t="str">
        <f>("00622454610309")</f>
        <v>00622454610309</v>
      </c>
      <c r="L101" s="3">
        <v>1</v>
      </c>
      <c r="M101" s="3"/>
    </row>
    <row r="102" spans="1:13" x14ac:dyDescent="0.25">
      <c r="A102" s="3" t="s">
        <v>1371</v>
      </c>
      <c r="B102" s="10" t="s">
        <v>1351</v>
      </c>
      <c r="C102" s="3" t="str">
        <f>("295089")</f>
        <v>295089</v>
      </c>
      <c r="D102" s="11" t="str">
        <f>("622454610323")</f>
        <v>622454610323</v>
      </c>
      <c r="E102" s="3"/>
      <c r="F102" s="8" t="s">
        <v>108</v>
      </c>
      <c r="G102" s="14">
        <v>13234.699374912361</v>
      </c>
      <c r="H102" s="35">
        <v>45689</v>
      </c>
      <c r="I102" s="3">
        <v>52.203000000000003</v>
      </c>
      <c r="J102" s="3" t="s">
        <v>10</v>
      </c>
      <c r="K102" s="11" t="str">
        <f>("00622454610323")</f>
        <v>00622454610323</v>
      </c>
      <c r="L102" s="3">
        <v>1</v>
      </c>
      <c r="M102" s="3"/>
    </row>
    <row r="103" spans="1:13" x14ac:dyDescent="0.25">
      <c r="A103" s="3" t="s">
        <v>1371</v>
      </c>
      <c r="B103" s="10" t="s">
        <v>1351</v>
      </c>
      <c r="C103" s="3" t="str">
        <f>("295091")</f>
        <v>295091</v>
      </c>
      <c r="D103" s="11" t="str">
        <f>("622454610347")</f>
        <v>622454610347</v>
      </c>
      <c r="E103" s="3"/>
      <c r="F103" s="8" t="s">
        <v>109</v>
      </c>
      <c r="G103" s="14">
        <v>13445.337426784057</v>
      </c>
      <c r="H103" s="35">
        <v>45689</v>
      </c>
      <c r="I103" s="3">
        <v>54.817999999999998</v>
      </c>
      <c r="J103" s="3" t="s">
        <v>10</v>
      </c>
      <c r="K103" s="11" t="str">
        <f>("00622454610347")</f>
        <v>00622454610347</v>
      </c>
      <c r="L103" s="3">
        <v>1</v>
      </c>
      <c r="M103" s="3"/>
    </row>
    <row r="104" spans="1:13" x14ac:dyDescent="0.25">
      <c r="A104" s="3" t="s">
        <v>1371</v>
      </c>
      <c r="B104" s="10" t="s">
        <v>1351</v>
      </c>
      <c r="C104" s="3" t="str">
        <f>("295093")</f>
        <v>295093</v>
      </c>
      <c r="D104" s="11" t="str">
        <f>("622454610361")</f>
        <v>622454610361</v>
      </c>
      <c r="E104" s="3"/>
      <c r="F104" s="8" t="s">
        <v>110</v>
      </c>
      <c r="G104" s="14">
        <v>13906.945336196781</v>
      </c>
      <c r="H104" s="35">
        <v>45689</v>
      </c>
      <c r="I104" s="3">
        <v>63.566000000000003</v>
      </c>
      <c r="J104" s="3" t="s">
        <v>10</v>
      </c>
      <c r="K104" s="11" t="str">
        <f>("00622454610361")</f>
        <v>00622454610361</v>
      </c>
      <c r="L104" s="3">
        <v>1</v>
      </c>
      <c r="M104" s="3"/>
    </row>
    <row r="105" spans="1:13" x14ac:dyDescent="0.25">
      <c r="A105" s="3" t="s">
        <v>1371</v>
      </c>
      <c r="B105" s="10" t="s">
        <v>1351</v>
      </c>
      <c r="C105" s="3" t="str">
        <f>("295095")</f>
        <v>295095</v>
      </c>
      <c r="D105" s="11" t="str">
        <f>("622454610385")</f>
        <v>622454610385</v>
      </c>
      <c r="E105" s="3"/>
      <c r="F105" s="8" t="s">
        <v>111</v>
      </c>
      <c r="G105" s="14">
        <v>14116.869986199363</v>
      </c>
      <c r="H105" s="35">
        <v>45689</v>
      </c>
      <c r="I105" s="3">
        <v>68.534999999999997</v>
      </c>
      <c r="J105" s="3" t="s">
        <v>10</v>
      </c>
      <c r="K105" s="11" t="str">
        <f>("00622454610385")</f>
        <v>00622454610385</v>
      </c>
      <c r="L105" s="3">
        <v>1</v>
      </c>
      <c r="M105" s="3"/>
    </row>
    <row r="106" spans="1:13" x14ac:dyDescent="0.25">
      <c r="A106" s="3" t="s">
        <v>1371</v>
      </c>
      <c r="B106" s="10" t="s">
        <v>1351</v>
      </c>
      <c r="C106" s="3" t="str">
        <f>("295016")</f>
        <v>295016</v>
      </c>
      <c r="D106" s="11" t="str">
        <f>("622454609570")</f>
        <v>622454609570</v>
      </c>
      <c r="E106" s="3"/>
      <c r="F106" s="8" t="s">
        <v>112</v>
      </c>
      <c r="G106" s="14">
        <v>985.56468217946713</v>
      </c>
      <c r="H106" s="35">
        <v>45689</v>
      </c>
      <c r="I106" s="3">
        <v>21.911999999999999</v>
      </c>
      <c r="J106" s="3" t="s">
        <v>10</v>
      </c>
      <c r="K106" s="11" t="str">
        <f>("00622454609570")</f>
        <v>00622454609570</v>
      </c>
      <c r="L106" s="3">
        <v>1</v>
      </c>
      <c r="M106" s="3"/>
    </row>
    <row r="107" spans="1:13" x14ac:dyDescent="0.25">
      <c r="A107" s="3" t="s">
        <v>1371</v>
      </c>
      <c r="B107" s="10" t="s">
        <v>1351</v>
      </c>
      <c r="C107" s="3" t="str">
        <f>("295021")</f>
        <v>295021</v>
      </c>
      <c r="D107" s="11" t="str">
        <f>("622454609624")</f>
        <v>622454609624</v>
      </c>
      <c r="E107" s="3"/>
      <c r="F107" s="8" t="s">
        <v>113</v>
      </c>
      <c r="G107" s="14">
        <v>1838.76871757404</v>
      </c>
      <c r="H107" s="35">
        <v>45689</v>
      </c>
      <c r="I107" s="3">
        <v>41.491</v>
      </c>
      <c r="J107" s="3" t="s">
        <v>10</v>
      </c>
      <c r="K107" s="11" t="str">
        <f>("00622454609624")</f>
        <v>00622454609624</v>
      </c>
      <c r="L107" s="3">
        <v>1</v>
      </c>
      <c r="M107" s="3"/>
    </row>
    <row r="108" spans="1:13" x14ac:dyDescent="0.25">
      <c r="A108" s="3" t="s">
        <v>1371</v>
      </c>
      <c r="B108" s="10" t="s">
        <v>1351</v>
      </c>
      <c r="C108" s="3" t="str">
        <f>("295025")</f>
        <v>295025</v>
      </c>
      <c r="D108" s="11" t="str">
        <f>("622454609679")</f>
        <v>622454609679</v>
      </c>
      <c r="E108" s="3"/>
      <c r="F108" s="8" t="s">
        <v>114</v>
      </c>
      <c r="G108" s="14">
        <v>1510.8498584266288</v>
      </c>
      <c r="H108" s="35">
        <v>45689</v>
      </c>
      <c r="I108" s="3">
        <v>42.371000000000002</v>
      </c>
      <c r="J108" s="3" t="s">
        <v>10</v>
      </c>
      <c r="K108" s="11" t="str">
        <f>("00622454609679")</f>
        <v>00622454609679</v>
      </c>
      <c r="L108" s="3">
        <v>1</v>
      </c>
      <c r="M108" s="3"/>
    </row>
    <row r="109" spans="1:13" x14ac:dyDescent="0.25">
      <c r="A109" s="3" t="s">
        <v>1371</v>
      </c>
      <c r="B109" s="10" t="s">
        <v>1351</v>
      </c>
      <c r="C109" s="3" t="str">
        <f>("295031")</f>
        <v>295031</v>
      </c>
      <c r="D109" s="11" t="str">
        <f>("622454609747")</f>
        <v>622454609747</v>
      </c>
      <c r="E109" s="3"/>
      <c r="F109" s="8" t="s">
        <v>115</v>
      </c>
      <c r="G109" s="14">
        <v>3081.1580726341504</v>
      </c>
      <c r="H109" s="35">
        <v>45689</v>
      </c>
      <c r="I109" s="3">
        <v>31.204000000000001</v>
      </c>
      <c r="J109" s="3" t="s">
        <v>10</v>
      </c>
      <c r="K109" s="11" t="str">
        <f>("00622454609747")</f>
        <v>00622454609747</v>
      </c>
      <c r="L109" s="3">
        <v>1</v>
      </c>
      <c r="M109" s="3"/>
    </row>
    <row r="110" spans="1:13" x14ac:dyDescent="0.25">
      <c r="A110" s="3" t="s">
        <v>1371</v>
      </c>
      <c r="B110" s="10" t="s">
        <v>1351</v>
      </c>
      <c r="C110" s="3" t="str">
        <f>("295035")</f>
        <v>295035</v>
      </c>
      <c r="D110" s="11" t="str">
        <f>("622454609785")</f>
        <v>622454609785</v>
      </c>
      <c r="E110" s="3"/>
      <c r="F110" s="8" t="s">
        <v>116</v>
      </c>
      <c r="G110" s="14">
        <v>3069.2639414715263</v>
      </c>
      <c r="H110" s="35">
        <v>45689</v>
      </c>
      <c r="I110" s="3">
        <v>32.085999999999999</v>
      </c>
      <c r="J110" s="3" t="s">
        <v>10</v>
      </c>
      <c r="K110" s="11" t="str">
        <f>("00622454609785")</f>
        <v>00622454609785</v>
      </c>
      <c r="L110" s="3">
        <v>1</v>
      </c>
      <c r="M110" s="3"/>
    </row>
    <row r="111" spans="1:13" x14ac:dyDescent="0.25">
      <c r="A111" s="3" t="s">
        <v>1371</v>
      </c>
      <c r="B111" s="10" t="s">
        <v>1351</v>
      </c>
      <c r="C111" s="3" t="str">
        <f>("295039")</f>
        <v>295039</v>
      </c>
      <c r="D111" s="11" t="str">
        <f>("622454609822")</f>
        <v>622454609822</v>
      </c>
      <c r="E111" s="3"/>
      <c r="F111" s="8" t="s">
        <v>117</v>
      </c>
      <c r="G111" s="14">
        <v>2514.2864874305969</v>
      </c>
      <c r="H111" s="35">
        <v>45689</v>
      </c>
      <c r="I111" s="3">
        <v>33.408999999999999</v>
      </c>
      <c r="J111" s="3" t="s">
        <v>10</v>
      </c>
      <c r="K111" s="11" t="str">
        <f>("00622454609822")</f>
        <v>00622454609822</v>
      </c>
      <c r="L111" s="3">
        <v>1</v>
      </c>
      <c r="M111" s="3"/>
    </row>
    <row r="112" spans="1:13" x14ac:dyDescent="0.25">
      <c r="A112" s="3" t="s">
        <v>1371</v>
      </c>
      <c r="B112" s="10" t="s">
        <v>1351</v>
      </c>
      <c r="C112" s="3" t="str">
        <f>("295044")</f>
        <v>295044</v>
      </c>
      <c r="D112" s="11" t="str">
        <f>("622454609877")</f>
        <v>622454609877</v>
      </c>
      <c r="E112" s="3"/>
      <c r="F112" s="8" t="s">
        <v>118</v>
      </c>
      <c r="G112" s="14">
        <v>3425.8418757057138</v>
      </c>
      <c r="H112" s="35">
        <v>45689</v>
      </c>
      <c r="I112" s="3">
        <v>44.692</v>
      </c>
      <c r="J112" s="3" t="s">
        <v>10</v>
      </c>
      <c r="K112" s="11" t="str">
        <f>("00622454609877")</f>
        <v>00622454609877</v>
      </c>
      <c r="L112" s="3">
        <v>1</v>
      </c>
      <c r="M112" s="3"/>
    </row>
    <row r="113" spans="1:13" x14ac:dyDescent="0.25">
      <c r="A113" s="3" t="s">
        <v>1371</v>
      </c>
      <c r="B113" s="10" t="s">
        <v>1351</v>
      </c>
      <c r="C113" s="3" t="str">
        <f>("295048")</f>
        <v>295048</v>
      </c>
      <c r="D113" s="11" t="str">
        <f>("622454609914")</f>
        <v>622454609914</v>
      </c>
      <c r="E113" s="3"/>
      <c r="F113" s="8" t="s">
        <v>119</v>
      </c>
      <c r="G113" s="14">
        <v>3207.1104026292551</v>
      </c>
      <c r="H113" s="35">
        <v>45689</v>
      </c>
      <c r="I113" s="3">
        <v>45.706000000000003</v>
      </c>
      <c r="J113" s="3" t="s">
        <v>10</v>
      </c>
      <c r="K113" s="11" t="str">
        <f>("00622454609914")</f>
        <v>00622454609914</v>
      </c>
      <c r="L113" s="3">
        <v>1</v>
      </c>
      <c r="M113" s="3"/>
    </row>
    <row r="114" spans="1:13" x14ac:dyDescent="0.25">
      <c r="A114" s="3" t="s">
        <v>1371</v>
      </c>
      <c r="B114" s="10" t="s">
        <v>1351</v>
      </c>
      <c r="C114" s="3" t="str">
        <f>("295052")</f>
        <v>295052</v>
      </c>
      <c r="D114" s="11" t="str">
        <f>("622454609952")</f>
        <v>622454609952</v>
      </c>
      <c r="E114" s="3"/>
      <c r="F114" s="8" t="s">
        <v>120</v>
      </c>
      <c r="G114" s="14">
        <v>3162.2521851007245</v>
      </c>
      <c r="H114" s="35">
        <v>45689</v>
      </c>
      <c r="I114" s="3">
        <v>46.853000000000002</v>
      </c>
      <c r="J114" s="3" t="s">
        <v>10</v>
      </c>
      <c r="K114" s="11" t="str">
        <f>("00622454609952")</f>
        <v>00622454609952</v>
      </c>
      <c r="L114" s="3">
        <v>1</v>
      </c>
      <c r="M114" s="3"/>
    </row>
    <row r="115" spans="1:13" x14ac:dyDescent="0.25">
      <c r="A115" s="3" t="s">
        <v>1371</v>
      </c>
      <c r="B115" s="10" t="s">
        <v>1351</v>
      </c>
      <c r="C115" s="3" t="str">
        <f>("295056")</f>
        <v>295056</v>
      </c>
      <c r="D115" s="11" t="str">
        <f>("622454609990")</f>
        <v>622454609990</v>
      </c>
      <c r="E115" s="3"/>
      <c r="F115" s="8" t="s">
        <v>121</v>
      </c>
      <c r="G115" s="14">
        <v>2338.3222264042329</v>
      </c>
      <c r="H115" s="35">
        <v>45689</v>
      </c>
      <c r="I115" s="3">
        <v>49.521999999999998</v>
      </c>
      <c r="J115" s="3" t="s">
        <v>10</v>
      </c>
      <c r="K115" s="11" t="str">
        <f>("00622454609990")</f>
        <v>00622454609990</v>
      </c>
      <c r="L115" s="3">
        <v>1</v>
      </c>
      <c r="M115" s="3"/>
    </row>
    <row r="116" spans="1:13" x14ac:dyDescent="0.25">
      <c r="A116" s="3" t="s">
        <v>1371</v>
      </c>
      <c r="B116" s="10" t="s">
        <v>1351</v>
      </c>
      <c r="C116" s="3" t="str">
        <f>("295060")</f>
        <v>295060</v>
      </c>
      <c r="D116" s="11" t="str">
        <f>("622454610033")</f>
        <v>622454610033</v>
      </c>
      <c r="E116" s="3"/>
      <c r="F116" s="8" t="s">
        <v>122</v>
      </c>
      <c r="G116" s="14">
        <v>4827.7626487381394</v>
      </c>
      <c r="H116" s="35">
        <v>45689</v>
      </c>
      <c r="I116" s="3">
        <v>60.16</v>
      </c>
      <c r="J116" s="3" t="s">
        <v>10</v>
      </c>
      <c r="K116" s="11" t="str">
        <f>("00622454610033")</f>
        <v>00622454610033</v>
      </c>
      <c r="L116" s="3">
        <v>1</v>
      </c>
      <c r="M116" s="3"/>
    </row>
    <row r="117" spans="1:13" x14ac:dyDescent="0.25">
      <c r="A117" s="3" t="s">
        <v>1371</v>
      </c>
      <c r="B117" s="10" t="s">
        <v>1351</v>
      </c>
      <c r="C117" s="3" t="str">
        <f>("295062")</f>
        <v>295062</v>
      </c>
      <c r="D117" s="11" t="str">
        <f>("622454610057")</f>
        <v>622454610057</v>
      </c>
      <c r="E117" s="3"/>
      <c r="F117" s="8" t="s">
        <v>123</v>
      </c>
      <c r="G117" s="14">
        <v>4558.4780432124735</v>
      </c>
      <c r="H117" s="35">
        <v>45689</v>
      </c>
      <c r="I117" s="3">
        <v>61.042000000000002</v>
      </c>
      <c r="J117" s="3" t="s">
        <v>10</v>
      </c>
      <c r="K117" s="11" t="str">
        <f>("00622454610057")</f>
        <v>00622454610057</v>
      </c>
      <c r="L117" s="3">
        <v>1</v>
      </c>
      <c r="M117" s="3"/>
    </row>
    <row r="118" spans="1:13" x14ac:dyDescent="0.25">
      <c r="A118" s="3" t="s">
        <v>1371</v>
      </c>
      <c r="B118" s="10" t="s">
        <v>1351</v>
      </c>
      <c r="C118" s="3" t="str">
        <f>("295064")</f>
        <v>295064</v>
      </c>
      <c r="D118" s="11" t="str">
        <f>("622454610071")</f>
        <v>622454610071</v>
      </c>
      <c r="E118" s="3"/>
      <c r="F118" s="8" t="s">
        <v>124</v>
      </c>
      <c r="G118" s="14">
        <v>4490.9877663879479</v>
      </c>
      <c r="H118" s="35">
        <v>45689</v>
      </c>
      <c r="I118" s="3">
        <v>62.536000000000001</v>
      </c>
      <c r="J118" s="3" t="s">
        <v>10</v>
      </c>
      <c r="K118" s="11" t="str">
        <f>("00622454610071")</f>
        <v>00622454610071</v>
      </c>
      <c r="L118" s="3">
        <v>1</v>
      </c>
      <c r="M118" s="3"/>
    </row>
    <row r="119" spans="1:13" x14ac:dyDescent="0.25">
      <c r="A119" s="3" t="s">
        <v>1371</v>
      </c>
      <c r="B119" s="10" t="s">
        <v>1351</v>
      </c>
      <c r="C119" s="3" t="str">
        <f>("295066")</f>
        <v>295066</v>
      </c>
      <c r="D119" s="11" t="str">
        <f>("622454610095")</f>
        <v>622454610095</v>
      </c>
      <c r="E119" s="3"/>
      <c r="F119" s="8" t="s">
        <v>125</v>
      </c>
      <c r="G119" s="14">
        <v>4169.5510242236833</v>
      </c>
      <c r="H119" s="35">
        <v>45689</v>
      </c>
      <c r="I119" s="3">
        <v>64.992000000000004</v>
      </c>
      <c r="J119" s="3" t="s">
        <v>10</v>
      </c>
      <c r="K119" s="11" t="str">
        <f>("00622454610095")</f>
        <v>00622454610095</v>
      </c>
      <c r="L119" s="3">
        <v>1</v>
      </c>
      <c r="M119" s="3"/>
    </row>
    <row r="120" spans="1:13" x14ac:dyDescent="0.25">
      <c r="A120" s="3" t="s">
        <v>1371</v>
      </c>
      <c r="B120" s="10" t="s">
        <v>1351</v>
      </c>
      <c r="C120" s="3" t="str">
        <f>("295068")</f>
        <v>295068</v>
      </c>
      <c r="D120" s="11" t="str">
        <f>("622454610118")</f>
        <v>622454610118</v>
      </c>
      <c r="E120" s="3"/>
      <c r="F120" s="8" t="s">
        <v>126</v>
      </c>
      <c r="G120" s="14">
        <v>3762.8258586037491</v>
      </c>
      <c r="H120" s="35">
        <v>45689</v>
      </c>
      <c r="I120" s="3">
        <v>67.631</v>
      </c>
      <c r="J120" s="3" t="s">
        <v>10</v>
      </c>
      <c r="K120" s="11" t="str">
        <f>("00622454610118")</f>
        <v>00622454610118</v>
      </c>
      <c r="L120" s="3">
        <v>1</v>
      </c>
      <c r="M120" s="3"/>
    </row>
    <row r="121" spans="1:13" x14ac:dyDescent="0.25">
      <c r="A121" s="3" t="s">
        <v>1371</v>
      </c>
      <c r="B121" s="10" t="s">
        <v>1351</v>
      </c>
      <c r="C121" s="3" t="str">
        <f>("295071")</f>
        <v>295071</v>
      </c>
      <c r="D121" s="11" t="str">
        <f>("622454610149")</f>
        <v>622454610149</v>
      </c>
      <c r="E121" s="3"/>
      <c r="F121" s="8" t="s">
        <v>127</v>
      </c>
      <c r="G121" s="14">
        <v>7012.0638716073445</v>
      </c>
      <c r="H121" s="35">
        <v>45689</v>
      </c>
      <c r="I121" s="3">
        <v>88.87</v>
      </c>
      <c r="J121" s="3" t="s">
        <v>10</v>
      </c>
      <c r="K121" s="11" t="str">
        <f>("00622454610149")</f>
        <v>00622454610149</v>
      </c>
      <c r="L121" s="3">
        <v>1</v>
      </c>
      <c r="M121" s="3"/>
    </row>
    <row r="122" spans="1:13" x14ac:dyDescent="0.25">
      <c r="A122" s="3" t="s">
        <v>1371</v>
      </c>
      <c r="B122" s="10" t="s">
        <v>1351</v>
      </c>
      <c r="C122" s="3" t="str">
        <f>("295073")</f>
        <v>295073</v>
      </c>
      <c r="D122" s="11" t="str">
        <f>("622454610163")</f>
        <v>622454610163</v>
      </c>
      <c r="E122" s="3"/>
      <c r="F122" s="8" t="s">
        <v>128</v>
      </c>
      <c r="G122" s="14">
        <v>7387.3009547285019</v>
      </c>
      <c r="H122" s="35">
        <v>45689</v>
      </c>
      <c r="I122" s="3">
        <v>89.754000000000005</v>
      </c>
      <c r="J122" s="3" t="s">
        <v>10</v>
      </c>
      <c r="K122" s="11" t="str">
        <f>("00622454610163")</f>
        <v>00622454610163</v>
      </c>
      <c r="L122" s="3">
        <v>1</v>
      </c>
      <c r="M122" s="3"/>
    </row>
    <row r="123" spans="1:13" x14ac:dyDescent="0.25">
      <c r="A123" s="3" t="s">
        <v>1371</v>
      </c>
      <c r="B123" s="10" t="s">
        <v>1351</v>
      </c>
      <c r="C123" s="3" t="str">
        <f>("295075")</f>
        <v>295075</v>
      </c>
      <c r="D123" s="11" t="str">
        <f>("622454610187")</f>
        <v>622454610187</v>
      </c>
      <c r="E123" s="3"/>
      <c r="F123" s="8" t="s">
        <v>129</v>
      </c>
      <c r="G123" s="14">
        <v>7587.6930797558689</v>
      </c>
      <c r="H123" s="35">
        <v>45689</v>
      </c>
      <c r="I123" s="3">
        <v>91.031000000000006</v>
      </c>
      <c r="J123" s="3" t="s">
        <v>10</v>
      </c>
      <c r="K123" s="11" t="str">
        <f>("00622454610187")</f>
        <v>00622454610187</v>
      </c>
      <c r="L123" s="3">
        <v>1</v>
      </c>
      <c r="M123" s="3"/>
    </row>
    <row r="124" spans="1:13" x14ac:dyDescent="0.25">
      <c r="A124" s="3" t="s">
        <v>1371</v>
      </c>
      <c r="B124" s="10" t="s">
        <v>1351</v>
      </c>
      <c r="C124" s="3" t="str">
        <f>("295077")</f>
        <v>295077</v>
      </c>
      <c r="D124" s="11" t="str">
        <f>("622454610200")</f>
        <v>622454610200</v>
      </c>
      <c r="E124" s="3"/>
      <c r="F124" s="8" t="s">
        <v>130</v>
      </c>
      <c r="G124" s="14">
        <v>7764.2723423935367</v>
      </c>
      <c r="H124" s="35">
        <v>45689</v>
      </c>
      <c r="I124" s="3">
        <v>93.704999999999998</v>
      </c>
      <c r="J124" s="3" t="s">
        <v>10</v>
      </c>
      <c r="K124" s="11" t="str">
        <f>("00622454610200")</f>
        <v>00622454610200</v>
      </c>
      <c r="L124" s="3">
        <v>1</v>
      </c>
      <c r="M124" s="3"/>
    </row>
    <row r="125" spans="1:13" x14ac:dyDescent="0.25">
      <c r="A125" s="3" t="s">
        <v>1371</v>
      </c>
      <c r="B125" s="10" t="s">
        <v>1351</v>
      </c>
      <c r="C125" s="3" t="str">
        <f>("295079")</f>
        <v>295079</v>
      </c>
      <c r="D125" s="11" t="str">
        <f>("622454610224")</f>
        <v>622454610224</v>
      </c>
      <c r="E125" s="3"/>
      <c r="F125" s="8" t="s">
        <v>131</v>
      </c>
      <c r="G125" s="14">
        <v>7869.9296192156035</v>
      </c>
      <c r="H125" s="35">
        <v>45689</v>
      </c>
      <c r="I125" s="3">
        <v>96.375</v>
      </c>
      <c r="J125" s="3" t="s">
        <v>10</v>
      </c>
      <c r="K125" s="11" t="str">
        <f>("00622454610224")</f>
        <v>00622454610224</v>
      </c>
      <c r="L125" s="3">
        <v>1</v>
      </c>
      <c r="M125" s="3"/>
    </row>
    <row r="126" spans="1:13" x14ac:dyDescent="0.25">
      <c r="A126" s="3" t="s">
        <v>1371</v>
      </c>
      <c r="B126" s="10" t="s">
        <v>1351</v>
      </c>
      <c r="C126" s="3" t="str">
        <f>("295081")</f>
        <v>295081</v>
      </c>
      <c r="D126" s="11" t="str">
        <f>("622454610248")</f>
        <v>622454610248</v>
      </c>
      <c r="E126" s="3"/>
      <c r="F126" s="8" t="s">
        <v>132</v>
      </c>
      <c r="G126" s="14">
        <v>8374.8459420963682</v>
      </c>
      <c r="H126" s="35">
        <v>45689</v>
      </c>
      <c r="I126" s="3">
        <v>100.2</v>
      </c>
      <c r="J126" s="3" t="s">
        <v>10</v>
      </c>
      <c r="K126" s="11" t="str">
        <f>("00622454610248")</f>
        <v>00622454610248</v>
      </c>
      <c r="L126" s="3">
        <v>1</v>
      </c>
      <c r="M126" s="3"/>
    </row>
    <row r="127" spans="1:13" x14ac:dyDescent="0.25">
      <c r="A127" s="3" t="s">
        <v>1371</v>
      </c>
      <c r="B127" s="10" t="s">
        <v>1351</v>
      </c>
      <c r="C127" s="3" t="str">
        <f>("295084")</f>
        <v>295084</v>
      </c>
      <c r="D127" s="11" t="str">
        <f>("622454610279")</f>
        <v>622454610279</v>
      </c>
      <c r="E127" s="3"/>
      <c r="F127" s="8" t="s">
        <v>133</v>
      </c>
      <c r="G127" s="14">
        <v>12814.567174165995</v>
      </c>
      <c r="H127" s="35">
        <v>45689</v>
      </c>
      <c r="I127" s="3">
        <v>111.953</v>
      </c>
      <c r="J127" s="3" t="s">
        <v>10</v>
      </c>
      <c r="K127" s="11" t="str">
        <f>("00622454610279")</f>
        <v>00622454610279</v>
      </c>
      <c r="L127" s="3">
        <v>1</v>
      </c>
      <c r="M127" s="3"/>
    </row>
    <row r="128" spans="1:13" x14ac:dyDescent="0.25">
      <c r="A128" s="3" t="s">
        <v>1371</v>
      </c>
      <c r="B128" s="10" t="s">
        <v>1351</v>
      </c>
      <c r="C128" s="3" t="str">
        <f>("295086")</f>
        <v>295086</v>
      </c>
      <c r="D128" s="11" t="str">
        <f>("622454610293")</f>
        <v>622454610293</v>
      </c>
      <c r="E128" s="3"/>
      <c r="F128" s="8" t="s">
        <v>134</v>
      </c>
      <c r="G128" s="14">
        <v>12898.650194463509</v>
      </c>
      <c r="H128" s="35">
        <v>45689</v>
      </c>
      <c r="I128" s="3">
        <v>112.83499999999999</v>
      </c>
      <c r="J128" s="3" t="s">
        <v>10</v>
      </c>
      <c r="K128" s="11" t="str">
        <f>("00622454610293")</f>
        <v>00622454610293</v>
      </c>
      <c r="L128" s="3">
        <v>1</v>
      </c>
      <c r="M128" s="3"/>
    </row>
    <row r="129" spans="1:13" x14ac:dyDescent="0.25">
      <c r="A129" s="3" t="s">
        <v>1371</v>
      </c>
      <c r="B129" s="10" t="s">
        <v>1351</v>
      </c>
      <c r="C129" s="3" t="str">
        <f>("295088")</f>
        <v>295088</v>
      </c>
      <c r="D129" s="11" t="str">
        <f>("622454610316")</f>
        <v>622454610316</v>
      </c>
      <c r="E129" s="3"/>
      <c r="F129" s="8" t="s">
        <v>135</v>
      </c>
      <c r="G129" s="14">
        <v>13045.377278888469</v>
      </c>
      <c r="H129" s="35">
        <v>45689</v>
      </c>
      <c r="I129" s="3">
        <v>114.105</v>
      </c>
      <c r="J129" s="3" t="s">
        <v>10</v>
      </c>
      <c r="K129" s="11" t="str">
        <f>("00622454610316")</f>
        <v>00622454610316</v>
      </c>
      <c r="L129" s="3">
        <v>1</v>
      </c>
      <c r="M129" s="3"/>
    </row>
    <row r="130" spans="1:13" x14ac:dyDescent="0.25">
      <c r="A130" s="3" t="s">
        <v>1371</v>
      </c>
      <c r="B130" s="10" t="s">
        <v>1351</v>
      </c>
      <c r="C130" s="3" t="str">
        <f>("295090")</f>
        <v>295090</v>
      </c>
      <c r="D130" s="11" t="str">
        <f>("622454610330")</f>
        <v>622454610330</v>
      </c>
      <c r="E130" s="3"/>
      <c r="F130" s="8" t="s">
        <v>136</v>
      </c>
      <c r="G130" s="14">
        <v>13234.699374912361</v>
      </c>
      <c r="H130" s="35">
        <v>45689</v>
      </c>
      <c r="I130" s="3">
        <v>116.792</v>
      </c>
      <c r="J130" s="3" t="s">
        <v>10</v>
      </c>
      <c r="K130" s="11" t="str">
        <f>("00622454610330")</f>
        <v>00622454610330</v>
      </c>
      <c r="L130" s="3">
        <v>1</v>
      </c>
      <c r="M130" s="3"/>
    </row>
    <row r="131" spans="1:13" x14ac:dyDescent="0.25">
      <c r="A131" s="3" t="s">
        <v>1371</v>
      </c>
      <c r="B131" s="10" t="s">
        <v>1351</v>
      </c>
      <c r="C131" s="3" t="str">
        <f>("295092")</f>
        <v>295092</v>
      </c>
      <c r="D131" s="11" t="str">
        <f>("622454610354")</f>
        <v>622454610354</v>
      </c>
      <c r="E131" s="3"/>
      <c r="F131" s="8" t="s">
        <v>137</v>
      </c>
      <c r="G131" s="14">
        <v>13445.337426784057</v>
      </c>
      <c r="H131" s="35">
        <v>45689</v>
      </c>
      <c r="I131" s="3">
        <v>119.404</v>
      </c>
      <c r="J131" s="3" t="s">
        <v>10</v>
      </c>
      <c r="K131" s="11" t="str">
        <f>("00622454610354")</f>
        <v>00622454610354</v>
      </c>
      <c r="L131" s="3">
        <v>1</v>
      </c>
      <c r="M131" s="3"/>
    </row>
    <row r="132" spans="1:13" x14ac:dyDescent="0.25">
      <c r="A132" s="3" t="s">
        <v>1371</v>
      </c>
      <c r="B132" s="10" t="s">
        <v>1351</v>
      </c>
      <c r="C132" s="3" t="str">
        <f>("295094")</f>
        <v>295094</v>
      </c>
      <c r="D132" s="11" t="str">
        <f>("622454610378")</f>
        <v>622454610378</v>
      </c>
      <c r="E132" s="3"/>
      <c r="F132" s="8" t="s">
        <v>138</v>
      </c>
      <c r="G132" s="14">
        <v>13906.945336196781</v>
      </c>
      <c r="H132" s="35">
        <v>45689</v>
      </c>
      <c r="I132" s="3">
        <v>123.232</v>
      </c>
      <c r="J132" s="3" t="s">
        <v>10</v>
      </c>
      <c r="K132" s="11" t="str">
        <f>("00622454610378")</f>
        <v>00622454610378</v>
      </c>
      <c r="L132" s="3">
        <v>1</v>
      </c>
      <c r="M132" s="3"/>
    </row>
    <row r="133" spans="1:13" x14ac:dyDescent="0.25">
      <c r="A133" s="3" t="s">
        <v>1371</v>
      </c>
      <c r="B133" s="10" t="s">
        <v>1351</v>
      </c>
      <c r="C133" s="3" t="str">
        <f>("295096")</f>
        <v>295096</v>
      </c>
      <c r="D133" s="11" t="str">
        <f>("622454610392")</f>
        <v>622454610392</v>
      </c>
      <c r="E133" s="3"/>
      <c r="F133" s="8" t="s">
        <v>139</v>
      </c>
      <c r="G133" s="14">
        <v>14116.869986199363</v>
      </c>
      <c r="H133" s="35">
        <v>45689</v>
      </c>
      <c r="I133" s="3">
        <v>128.19900000000001</v>
      </c>
      <c r="J133" s="3" t="s">
        <v>10</v>
      </c>
      <c r="K133" s="11" t="str">
        <f>("00622454610392")</f>
        <v>00622454610392</v>
      </c>
      <c r="L133" s="3">
        <v>1</v>
      </c>
      <c r="M133" s="3"/>
    </row>
    <row r="134" spans="1:13" x14ac:dyDescent="0.25">
      <c r="A134" s="3" t="s">
        <v>1371</v>
      </c>
      <c r="B134" s="10" t="s">
        <v>1351</v>
      </c>
      <c r="C134" s="3" t="str">
        <f>("755200")</f>
        <v>755200</v>
      </c>
      <c r="D134" s="11" t="str">
        <f>("662671190284")</f>
        <v>662671190284</v>
      </c>
      <c r="E134" s="3">
        <v>192752</v>
      </c>
      <c r="F134" s="8" t="s">
        <v>140</v>
      </c>
      <c r="G134" s="14">
        <v>23.312943784637412</v>
      </c>
      <c r="H134" s="35">
        <v>45689</v>
      </c>
      <c r="I134" s="3">
        <v>8.2000000000000003E-2</v>
      </c>
      <c r="J134" s="3" t="s">
        <v>3</v>
      </c>
      <c r="K134" s="11" t="str">
        <f>("10662671190281")</f>
        <v>10662671190281</v>
      </c>
      <c r="L134" s="3">
        <v>150</v>
      </c>
      <c r="M134" s="3">
        <v>10800</v>
      </c>
    </row>
    <row r="135" spans="1:13" x14ac:dyDescent="0.25">
      <c r="A135" s="3" t="s">
        <v>1371</v>
      </c>
      <c r="B135" s="10" t="s">
        <v>1351</v>
      </c>
      <c r="C135" s="3" t="str">
        <f>("755204")</f>
        <v>755204</v>
      </c>
      <c r="D135" s="11" t="str">
        <f>("662671192301")</f>
        <v>662671192301</v>
      </c>
      <c r="E135" s="3">
        <v>192762</v>
      </c>
      <c r="F135" s="8" t="s">
        <v>141</v>
      </c>
      <c r="G135" s="14">
        <v>111.83179570355291</v>
      </c>
      <c r="H135" s="35">
        <v>45689</v>
      </c>
      <c r="I135" s="3">
        <v>0.41899999999999998</v>
      </c>
      <c r="J135" s="3" t="s">
        <v>3</v>
      </c>
      <c r="K135" s="11" t="str">
        <f>("10662671192308")</f>
        <v>10662671192308</v>
      </c>
      <c r="L135" s="3">
        <v>35</v>
      </c>
      <c r="M135" s="3">
        <v>2520</v>
      </c>
    </row>
    <row r="136" spans="1:13" x14ac:dyDescent="0.25">
      <c r="A136" s="3" t="s">
        <v>1371</v>
      </c>
      <c r="B136" s="10" t="s">
        <v>1351</v>
      </c>
      <c r="C136" s="3" t="str">
        <f>("755201")</f>
        <v>755201</v>
      </c>
      <c r="D136" s="11" t="str">
        <f>("662671190291")</f>
        <v>662671190291</v>
      </c>
      <c r="E136" s="3">
        <v>192754</v>
      </c>
      <c r="F136" s="8" t="s">
        <v>142</v>
      </c>
      <c r="G136" s="14">
        <v>59.036989634383481</v>
      </c>
      <c r="H136" s="35">
        <v>45689</v>
      </c>
      <c r="I136" s="3">
        <v>0.38400000000000001</v>
      </c>
      <c r="J136" s="3" t="s">
        <v>3</v>
      </c>
      <c r="K136" s="11" t="str">
        <f>("10662671190298")</f>
        <v>10662671190298</v>
      </c>
      <c r="L136" s="3">
        <v>60</v>
      </c>
      <c r="M136" s="3">
        <v>2880</v>
      </c>
    </row>
    <row r="137" spans="1:13" x14ac:dyDescent="0.25">
      <c r="A137" s="3" t="s">
        <v>1371</v>
      </c>
      <c r="B137" s="10" t="s">
        <v>1351</v>
      </c>
      <c r="C137" s="3" t="str">
        <f>("755203")</f>
        <v>755203</v>
      </c>
      <c r="D137" s="11" t="str">
        <f>("662671191335")</f>
        <v>662671191335</v>
      </c>
      <c r="E137" s="3">
        <v>192758</v>
      </c>
      <c r="F137" s="8" t="s">
        <v>143</v>
      </c>
      <c r="G137" s="14">
        <v>194.40152431853201</v>
      </c>
      <c r="H137" s="35">
        <v>45689</v>
      </c>
      <c r="I137" s="3">
        <v>0.56899999999999995</v>
      </c>
      <c r="J137" s="3" t="s">
        <v>3</v>
      </c>
      <c r="K137" s="11" t="str">
        <f>("10662671191332")</f>
        <v>10662671191332</v>
      </c>
      <c r="L137" s="3">
        <v>20</v>
      </c>
      <c r="M137" s="3">
        <v>1440</v>
      </c>
    </row>
    <row r="138" spans="1:13" x14ac:dyDescent="0.25">
      <c r="A138" s="3" t="s">
        <v>1371</v>
      </c>
      <c r="B138" s="10" t="s">
        <v>1351</v>
      </c>
      <c r="C138" s="3" t="str">
        <f>("755202")</f>
        <v>755202</v>
      </c>
      <c r="D138" s="11" t="str">
        <f>("662671191472")</f>
        <v>662671191472</v>
      </c>
      <c r="E138" s="3">
        <v>192756</v>
      </c>
      <c r="F138" s="8" t="s">
        <v>144</v>
      </c>
      <c r="G138" s="14">
        <v>100.41709852678829</v>
      </c>
      <c r="H138" s="35">
        <v>45689</v>
      </c>
      <c r="I138" s="3">
        <v>0.52900000000000003</v>
      </c>
      <c r="J138" s="3" t="s">
        <v>3</v>
      </c>
      <c r="K138" s="11" t="str">
        <f>("10662671191479")</f>
        <v>10662671191479</v>
      </c>
      <c r="L138" s="3">
        <v>35</v>
      </c>
      <c r="M138" s="3">
        <v>1680</v>
      </c>
    </row>
    <row r="139" spans="1:13" x14ac:dyDescent="0.25">
      <c r="A139" s="3" t="s">
        <v>1371</v>
      </c>
      <c r="B139" s="10" t="s">
        <v>1351</v>
      </c>
      <c r="C139" s="3" t="str">
        <f>("755205")</f>
        <v>755205</v>
      </c>
      <c r="D139" s="11" t="str">
        <f>("662671190871")</f>
        <v>662671190871</v>
      </c>
      <c r="E139" s="3">
        <v>192766</v>
      </c>
      <c r="F139" s="8" t="s">
        <v>145</v>
      </c>
      <c r="G139" s="14">
        <v>450.66806979277709</v>
      </c>
      <c r="H139" s="35">
        <v>45689</v>
      </c>
      <c r="I139" s="3">
        <v>2.0259999999999998</v>
      </c>
      <c r="J139" s="3" t="s">
        <v>3</v>
      </c>
      <c r="K139" s="11" t="str">
        <f>("30662671190872")</f>
        <v>30662671190872</v>
      </c>
      <c r="L139" s="3">
        <v>12</v>
      </c>
      <c r="M139" s="3">
        <v>384</v>
      </c>
    </row>
    <row r="140" spans="1:13" x14ac:dyDescent="0.25">
      <c r="A140" s="3" t="s">
        <v>1371</v>
      </c>
      <c r="B140" s="10" t="s">
        <v>1351</v>
      </c>
      <c r="C140" s="3" t="str">
        <f>("755206")</f>
        <v>755206</v>
      </c>
      <c r="D140" s="11" t="str">
        <f>("662671190833")</f>
        <v>662671190833</v>
      </c>
      <c r="E140" s="3">
        <v>192767</v>
      </c>
      <c r="F140" s="8" t="s">
        <v>146</v>
      </c>
      <c r="G140" s="14">
        <v>499.27211412567596</v>
      </c>
      <c r="H140" s="35">
        <v>45689</v>
      </c>
      <c r="I140" s="3">
        <v>1.7370000000000001</v>
      </c>
      <c r="J140" s="3" t="s">
        <v>3</v>
      </c>
      <c r="K140" s="11" t="str">
        <f>("10662671190830")</f>
        <v>10662671190830</v>
      </c>
      <c r="L140" s="3">
        <v>12</v>
      </c>
      <c r="M140" s="3">
        <v>384</v>
      </c>
    </row>
    <row r="141" spans="1:13" x14ac:dyDescent="0.25">
      <c r="A141" s="3" t="s">
        <v>1371</v>
      </c>
      <c r="B141" s="10" t="s">
        <v>1351</v>
      </c>
      <c r="C141" s="3" t="str">
        <f>("226118")</f>
        <v>226118</v>
      </c>
      <c r="D141" s="11" t="str">
        <f>("622454875494")</f>
        <v>622454875494</v>
      </c>
      <c r="E141" s="3">
        <v>192770</v>
      </c>
      <c r="F141" s="8" t="s">
        <v>147</v>
      </c>
      <c r="G141" s="14">
        <v>977.44388943936087</v>
      </c>
      <c r="H141" s="35">
        <v>45689</v>
      </c>
      <c r="I141" s="3">
        <v>8.0250000000000004</v>
      </c>
      <c r="J141" s="3" t="s">
        <v>3</v>
      </c>
      <c r="K141" s="11" t="str">
        <f>("10622454875491")</f>
        <v>10622454875491</v>
      </c>
      <c r="L141" s="3">
        <v>4</v>
      </c>
      <c r="M141" s="3"/>
    </row>
    <row r="142" spans="1:13" x14ac:dyDescent="0.25">
      <c r="A142" s="3" t="s">
        <v>1371</v>
      </c>
      <c r="B142" s="10" t="s">
        <v>1351</v>
      </c>
      <c r="C142" s="3" t="str">
        <f>("226117")</f>
        <v>226117</v>
      </c>
      <c r="D142" s="11" t="str">
        <f>("622454876118")</f>
        <v>622454876118</v>
      </c>
      <c r="E142" s="3">
        <v>192774</v>
      </c>
      <c r="F142" s="8" t="s">
        <v>148</v>
      </c>
      <c r="G142" s="14">
        <v>1124.7022748274628</v>
      </c>
      <c r="H142" s="35">
        <v>45689</v>
      </c>
      <c r="I142" s="3">
        <v>11.023</v>
      </c>
      <c r="J142" s="3" t="s">
        <v>149</v>
      </c>
      <c r="K142" s="11" t="str">
        <f>("00622454876118")</f>
        <v>00622454876118</v>
      </c>
      <c r="L142" s="3">
        <v>1</v>
      </c>
      <c r="M142" s="3"/>
    </row>
    <row r="143" spans="1:13" x14ac:dyDescent="0.25">
      <c r="A143" s="3" t="s">
        <v>1371</v>
      </c>
      <c r="B143" s="10" t="s">
        <v>1351</v>
      </c>
      <c r="C143" s="3" t="str">
        <f>("226078")</f>
        <v>226078</v>
      </c>
      <c r="D143" s="11" t="str">
        <f>("622454875173")</f>
        <v>622454875173</v>
      </c>
      <c r="E143" s="3">
        <v>192775</v>
      </c>
      <c r="F143" s="8" t="s">
        <v>150</v>
      </c>
      <c r="G143" s="14">
        <v>2061.9426923234487</v>
      </c>
      <c r="H143" s="35">
        <v>45689</v>
      </c>
      <c r="I143" s="3">
        <v>11.199</v>
      </c>
      <c r="J143" s="3" t="s">
        <v>149</v>
      </c>
      <c r="K143" s="11" t="str">
        <f>("00622454875173")</f>
        <v>00622454875173</v>
      </c>
      <c r="L143" s="3">
        <v>1</v>
      </c>
      <c r="M143" s="3"/>
    </row>
    <row r="144" spans="1:13" x14ac:dyDescent="0.25">
      <c r="A144" s="3" t="s">
        <v>1371</v>
      </c>
      <c r="B144" s="10" t="s">
        <v>1351</v>
      </c>
      <c r="C144" s="3" t="str">
        <f>("226106")</f>
        <v>226106</v>
      </c>
      <c r="D144" s="11" t="str">
        <f>("622454875722")</f>
        <v>622454875722</v>
      </c>
      <c r="E144" s="3">
        <v>192768</v>
      </c>
      <c r="F144" s="8" t="s">
        <v>1331</v>
      </c>
      <c r="G144" s="14">
        <v>635.69166575042391</v>
      </c>
      <c r="H144" s="35">
        <v>45689</v>
      </c>
      <c r="I144" s="3">
        <v>3.5049999999999999</v>
      </c>
      <c r="J144" s="3" t="s">
        <v>3</v>
      </c>
      <c r="K144" s="11" t="str">
        <f>("10622454875729")</f>
        <v>10622454875729</v>
      </c>
      <c r="L144" s="3">
        <v>10</v>
      </c>
      <c r="M144" s="3"/>
    </row>
    <row r="145" spans="1:13" x14ac:dyDescent="0.25">
      <c r="A145" s="3" t="s">
        <v>1371</v>
      </c>
      <c r="B145" s="10" t="s">
        <v>1351</v>
      </c>
      <c r="C145" s="3" t="str">
        <f>("626150")</f>
        <v>626150</v>
      </c>
      <c r="D145" s="11" t="str">
        <f>("622454868359")</f>
        <v>622454868359</v>
      </c>
      <c r="E145" s="3">
        <v>192769</v>
      </c>
      <c r="F145" s="8" t="s">
        <v>1332</v>
      </c>
      <c r="G145" s="14">
        <v>1099.7525894835901</v>
      </c>
      <c r="H145" s="35">
        <v>45689</v>
      </c>
      <c r="I145" s="3">
        <v>3.7189999999999999</v>
      </c>
      <c r="J145" s="3" t="s">
        <v>3</v>
      </c>
      <c r="K145" s="11" t="str">
        <f>("10622454868356")</f>
        <v>10622454868356</v>
      </c>
      <c r="L145" s="3">
        <v>94</v>
      </c>
      <c r="M145" s="3"/>
    </row>
    <row r="146" spans="1:13" x14ac:dyDescent="0.25">
      <c r="A146" s="3" t="s">
        <v>1371</v>
      </c>
      <c r="B146" s="10" t="s">
        <v>1351</v>
      </c>
      <c r="C146" s="3" t="str">
        <f>("626151")</f>
        <v>626151</v>
      </c>
      <c r="D146" s="11" t="str">
        <f>("622454868366")</f>
        <v>622454868366</v>
      </c>
      <c r="E146" s="3">
        <v>192771</v>
      </c>
      <c r="F146" s="8" t="s">
        <v>1333</v>
      </c>
      <c r="G146" s="14">
        <v>1126.362461207601</v>
      </c>
      <c r="H146" s="35">
        <v>45689</v>
      </c>
      <c r="I146" s="3">
        <v>3.9790000000000001</v>
      </c>
      <c r="J146" s="3" t="s">
        <v>3</v>
      </c>
      <c r="K146" s="11" t="str">
        <f>("10622454868363")</f>
        <v>10622454868363</v>
      </c>
      <c r="L146" s="3">
        <v>95</v>
      </c>
      <c r="M146" s="3"/>
    </row>
    <row r="147" spans="1:13" x14ac:dyDescent="0.25">
      <c r="A147" s="3" t="s">
        <v>1371</v>
      </c>
      <c r="B147" s="10" t="s">
        <v>1351</v>
      </c>
      <c r="C147" s="3" t="str">
        <f>("226112")</f>
        <v>226112</v>
      </c>
      <c r="D147" s="11" t="str">
        <f>("622454876095")</f>
        <v>622454876095</v>
      </c>
      <c r="E147" s="3">
        <v>192735</v>
      </c>
      <c r="F147" s="8" t="s">
        <v>1334</v>
      </c>
      <c r="G147" s="14">
        <v>1468.2026029749209</v>
      </c>
      <c r="H147" s="35">
        <v>45689</v>
      </c>
      <c r="I147" s="3">
        <v>12.359</v>
      </c>
      <c r="J147" s="3" t="s">
        <v>149</v>
      </c>
      <c r="K147" s="11" t="str">
        <f>("10622454876092")</f>
        <v>10622454876092</v>
      </c>
      <c r="L147" s="3">
        <v>2</v>
      </c>
      <c r="M147" s="3"/>
    </row>
    <row r="148" spans="1:13" x14ac:dyDescent="0.25">
      <c r="A148" s="3" t="s">
        <v>1371</v>
      </c>
      <c r="B148" s="10" t="s">
        <v>1351</v>
      </c>
      <c r="C148" s="3" t="str">
        <f>("226110")</f>
        <v>226110</v>
      </c>
      <c r="D148" s="11" t="str">
        <f>("622454876088")</f>
        <v>622454876088</v>
      </c>
      <c r="E148" s="3">
        <v>192736</v>
      </c>
      <c r="F148" s="8" t="s">
        <v>1335</v>
      </c>
      <c r="G148" s="14">
        <v>1829.9561894960577</v>
      </c>
      <c r="H148" s="35">
        <v>45689</v>
      </c>
      <c r="I148" s="3">
        <v>6.0010000000000003</v>
      </c>
      <c r="J148" s="3" t="s">
        <v>149</v>
      </c>
      <c r="K148" s="11" t="str">
        <f>("00622454876088")</f>
        <v>00622454876088</v>
      </c>
      <c r="L148" s="3">
        <v>1</v>
      </c>
      <c r="M148" s="3">
        <v>42</v>
      </c>
    </row>
    <row r="149" spans="1:13" x14ac:dyDescent="0.25">
      <c r="A149" s="3" t="s">
        <v>1371</v>
      </c>
      <c r="B149" s="10" t="s">
        <v>1351</v>
      </c>
      <c r="C149" s="3" t="str">
        <f>("226077")</f>
        <v>226077</v>
      </c>
      <c r="D149" s="11" t="str">
        <f>("622454875159")</f>
        <v>622454875159</v>
      </c>
      <c r="E149" s="3">
        <v>192737</v>
      </c>
      <c r="F149" s="8" t="s">
        <v>1336</v>
      </c>
      <c r="G149" s="14">
        <v>2028.5045165116683</v>
      </c>
      <c r="H149" s="35">
        <v>45689</v>
      </c>
      <c r="I149" s="3">
        <v>8.1419999999999995</v>
      </c>
      <c r="J149" s="3" t="s">
        <v>149</v>
      </c>
      <c r="K149" s="11" t="str">
        <f>("10622454875156")</f>
        <v>10622454875156</v>
      </c>
      <c r="L149" s="3">
        <v>2</v>
      </c>
      <c r="M149" s="3">
        <v>40</v>
      </c>
    </row>
    <row r="150" spans="1:13" x14ac:dyDescent="0.25">
      <c r="A150" s="3" t="s">
        <v>1371</v>
      </c>
      <c r="B150" s="10" t="s">
        <v>1351</v>
      </c>
      <c r="C150" s="3" t="str">
        <f>("226062")</f>
        <v>226062</v>
      </c>
      <c r="D150" s="11" t="str">
        <f>("622454875647")</f>
        <v>622454875647</v>
      </c>
      <c r="E150" s="3">
        <v>192738</v>
      </c>
      <c r="F150" s="8" t="s">
        <v>1337</v>
      </c>
      <c r="G150" s="14">
        <v>2224.3127300843335</v>
      </c>
      <c r="H150" s="35">
        <v>45689</v>
      </c>
      <c r="I150" s="3">
        <v>16.469000000000001</v>
      </c>
      <c r="J150" s="3" t="s">
        <v>149</v>
      </c>
      <c r="K150" s="11" t="str">
        <f>("10622454875644")</f>
        <v>10622454875644</v>
      </c>
      <c r="L150" s="3">
        <v>3</v>
      </c>
      <c r="M150" s="3">
        <v>30</v>
      </c>
    </row>
    <row r="151" spans="1:13" x14ac:dyDescent="0.25">
      <c r="A151" s="3" t="s">
        <v>1371</v>
      </c>
      <c r="B151" s="10" t="s">
        <v>1351</v>
      </c>
      <c r="C151" s="3" t="str">
        <f>("226165")</f>
        <v>226165</v>
      </c>
      <c r="D151" s="11" t="str">
        <f>("622454876132")</f>
        <v>622454876132</v>
      </c>
      <c r="E151" s="3">
        <v>192739</v>
      </c>
      <c r="F151" s="8" t="s">
        <v>151</v>
      </c>
      <c r="G151" s="14">
        <v>2722.2660730342591</v>
      </c>
      <c r="H151" s="35">
        <v>45689</v>
      </c>
      <c r="I151" s="3">
        <v>17.460999999999999</v>
      </c>
      <c r="J151" s="3" t="s">
        <v>149</v>
      </c>
      <c r="K151" s="11" t="str">
        <f>("30622454876133")</f>
        <v>30622454876133</v>
      </c>
      <c r="L151" s="3">
        <v>1</v>
      </c>
      <c r="M151" s="3"/>
    </row>
    <row r="152" spans="1:13" x14ac:dyDescent="0.25">
      <c r="A152" s="3" t="s">
        <v>1371</v>
      </c>
      <c r="B152" s="10" t="s">
        <v>1351</v>
      </c>
      <c r="C152" s="3" t="str">
        <f>("226079")</f>
        <v>226079</v>
      </c>
      <c r="D152" s="11" t="str">
        <f>("622454875340")</f>
        <v>622454875340</v>
      </c>
      <c r="E152" s="3"/>
      <c r="F152" s="8" t="s">
        <v>152</v>
      </c>
      <c r="G152" s="14">
        <v>2801.2018544093958</v>
      </c>
      <c r="H152" s="35">
        <v>45689</v>
      </c>
      <c r="I152" s="3">
        <v>12.798</v>
      </c>
      <c r="J152" s="3" t="s">
        <v>149</v>
      </c>
      <c r="K152" s="11" t="str">
        <f>("10622454875347")</f>
        <v>10622454875347</v>
      </c>
      <c r="L152" s="3">
        <v>2</v>
      </c>
      <c r="M152" s="3">
        <v>20</v>
      </c>
    </row>
    <row r="153" spans="1:13" x14ac:dyDescent="0.25">
      <c r="A153" s="3" t="s">
        <v>1371</v>
      </c>
      <c r="B153" s="10" t="s">
        <v>1351</v>
      </c>
      <c r="C153" s="3" t="str">
        <f>("294868")</f>
        <v>294868</v>
      </c>
      <c r="D153" s="11" t="str">
        <f>("622454608009")</f>
        <v>622454608009</v>
      </c>
      <c r="E153" s="3"/>
      <c r="F153" s="8" t="s">
        <v>153</v>
      </c>
      <c r="G153" s="14">
        <v>886.42642243722673</v>
      </c>
      <c r="H153" s="35">
        <v>45689</v>
      </c>
      <c r="I153" s="3">
        <v>23.797000000000001</v>
      </c>
      <c r="J153" s="3" t="s">
        <v>10</v>
      </c>
      <c r="K153" s="11" t="str">
        <f>("30622454608000")</f>
        <v>30622454608000</v>
      </c>
      <c r="L153" s="3">
        <v>1</v>
      </c>
      <c r="M153" s="3">
        <v>12</v>
      </c>
    </row>
    <row r="154" spans="1:13" x14ac:dyDescent="0.25">
      <c r="A154" s="3" t="s">
        <v>1371</v>
      </c>
      <c r="B154" s="10" t="s">
        <v>1351</v>
      </c>
      <c r="C154" s="3" t="str">
        <f>("294872")</f>
        <v>294872</v>
      </c>
      <c r="D154" s="11" t="str">
        <f>("622454608047")</f>
        <v>622454608047</v>
      </c>
      <c r="E154" s="3"/>
      <c r="F154" s="8" t="s">
        <v>154</v>
      </c>
      <c r="G154" s="14">
        <v>2824.7024007202895</v>
      </c>
      <c r="H154" s="35">
        <v>45689</v>
      </c>
      <c r="I154" s="3">
        <v>32.533999999999999</v>
      </c>
      <c r="J154" s="3" t="s">
        <v>10</v>
      </c>
      <c r="K154" s="11" t="str">
        <f>("00622454608047")</f>
        <v>00622454608047</v>
      </c>
      <c r="L154" s="3">
        <v>1</v>
      </c>
      <c r="M154" s="3"/>
    </row>
    <row r="155" spans="1:13" x14ac:dyDescent="0.25">
      <c r="A155" s="3" t="s">
        <v>1371</v>
      </c>
      <c r="B155" s="10" t="s">
        <v>1351</v>
      </c>
      <c r="C155" s="3" t="str">
        <f>("294876")</f>
        <v>294876</v>
      </c>
      <c r="D155" s="11" t="str">
        <f>("622454608085")</f>
        <v>622454608085</v>
      </c>
      <c r="E155" s="3"/>
      <c r="F155" s="8" t="s">
        <v>155</v>
      </c>
      <c r="G155" s="14">
        <v>2734.6292647286737</v>
      </c>
      <c r="H155" s="35">
        <v>45689</v>
      </c>
      <c r="I155" s="3">
        <v>32.530999999999999</v>
      </c>
      <c r="J155" s="3" t="s">
        <v>10</v>
      </c>
      <c r="K155" s="11" t="str">
        <f>("00622454608085")</f>
        <v>00622454608085</v>
      </c>
      <c r="L155" s="3">
        <v>1</v>
      </c>
      <c r="M155" s="3"/>
    </row>
    <row r="156" spans="1:13" x14ac:dyDescent="0.25">
      <c r="A156" s="3" t="s">
        <v>1371</v>
      </c>
      <c r="B156" s="10" t="s">
        <v>1351</v>
      </c>
      <c r="C156" s="3" t="str">
        <f>("294880")</f>
        <v>294880</v>
      </c>
      <c r="D156" s="11" t="str">
        <f>("622454608122")</f>
        <v>622454608122</v>
      </c>
      <c r="E156" s="3"/>
      <c r="F156" s="8" t="s">
        <v>156</v>
      </c>
      <c r="G156" s="14">
        <v>1979.407286047089</v>
      </c>
      <c r="H156" s="35">
        <v>45689</v>
      </c>
      <c r="I156" s="3">
        <v>33.802999999999997</v>
      </c>
      <c r="J156" s="3" t="s">
        <v>10</v>
      </c>
      <c r="K156" s="11" t="str">
        <f>("00622454608122")</f>
        <v>00622454608122</v>
      </c>
      <c r="L156" s="3">
        <v>1</v>
      </c>
      <c r="M156" s="3"/>
    </row>
    <row r="157" spans="1:13" x14ac:dyDescent="0.25">
      <c r="A157" s="3" t="s">
        <v>1371</v>
      </c>
      <c r="B157" s="10" t="s">
        <v>1351</v>
      </c>
      <c r="C157" s="3" t="str">
        <f>("294884")</f>
        <v>294884</v>
      </c>
      <c r="D157" s="11" t="str">
        <f>("622454608160")</f>
        <v>622454608160</v>
      </c>
      <c r="E157" s="3"/>
      <c r="F157" s="8" t="s">
        <v>157</v>
      </c>
      <c r="G157" s="14">
        <v>1671.820380169396</v>
      </c>
      <c r="H157" s="35">
        <v>45689</v>
      </c>
      <c r="I157" s="3">
        <v>35.994999999999997</v>
      </c>
      <c r="J157" s="3" t="s">
        <v>10</v>
      </c>
      <c r="K157" s="11" t="str">
        <f>("00622454608160")</f>
        <v>00622454608160</v>
      </c>
      <c r="L157" s="3">
        <v>1</v>
      </c>
      <c r="M157" s="3"/>
    </row>
    <row r="158" spans="1:13" x14ac:dyDescent="0.25">
      <c r="A158" s="3" t="s">
        <v>1371</v>
      </c>
      <c r="B158" s="10" t="s">
        <v>1351</v>
      </c>
      <c r="C158" s="3" t="str">
        <f>("294888")</f>
        <v>294888</v>
      </c>
      <c r="D158" s="11" t="str">
        <f>("622454608207")</f>
        <v>622454608207</v>
      </c>
      <c r="E158" s="3"/>
      <c r="F158" s="8" t="s">
        <v>158</v>
      </c>
      <c r="G158" s="14">
        <v>1484.6999899139732</v>
      </c>
      <c r="H158" s="35">
        <v>45689</v>
      </c>
      <c r="I158" s="3">
        <v>30.686</v>
      </c>
      <c r="J158" s="3" t="s">
        <v>10</v>
      </c>
      <c r="K158" s="11" t="str">
        <f>("00622454608207")</f>
        <v>00622454608207</v>
      </c>
      <c r="L158" s="3">
        <v>1</v>
      </c>
      <c r="M158" s="3"/>
    </row>
    <row r="159" spans="1:13" x14ac:dyDescent="0.25">
      <c r="A159" s="3" t="s">
        <v>1371</v>
      </c>
      <c r="B159" s="10" t="s">
        <v>1351</v>
      </c>
      <c r="C159" s="3" t="str">
        <f>("294892")</f>
        <v>294892</v>
      </c>
      <c r="D159" s="11" t="str">
        <f>("622454608245")</f>
        <v>622454608245</v>
      </c>
      <c r="E159" s="3"/>
      <c r="F159" s="8" t="s">
        <v>159</v>
      </c>
      <c r="G159" s="14">
        <v>3013.5078953906859</v>
      </c>
      <c r="H159" s="35">
        <v>45689</v>
      </c>
      <c r="I159" s="3">
        <v>45.42</v>
      </c>
      <c r="J159" s="3" t="s">
        <v>10</v>
      </c>
      <c r="K159" s="11" t="str">
        <f>("00622454608245")</f>
        <v>00622454608245</v>
      </c>
      <c r="L159" s="3">
        <v>1</v>
      </c>
      <c r="M159" s="3"/>
    </row>
    <row r="160" spans="1:13" x14ac:dyDescent="0.25">
      <c r="A160" s="3" t="s">
        <v>1371</v>
      </c>
      <c r="B160" s="10" t="s">
        <v>1351</v>
      </c>
      <c r="C160" s="3" t="str">
        <f>("294896")</f>
        <v>294896</v>
      </c>
      <c r="D160" s="11" t="str">
        <f>("622454608283")</f>
        <v>622454608283</v>
      </c>
      <c r="E160" s="3"/>
      <c r="F160" s="8" t="s">
        <v>160</v>
      </c>
      <c r="G160" s="14">
        <v>2781.0372863176904</v>
      </c>
      <c r="H160" s="35">
        <v>45689</v>
      </c>
      <c r="I160" s="3">
        <v>48.085000000000001</v>
      </c>
      <c r="J160" s="3" t="s">
        <v>10</v>
      </c>
      <c r="K160" s="11" t="str">
        <f>("00622454608283")</f>
        <v>00622454608283</v>
      </c>
      <c r="L160" s="3">
        <v>1</v>
      </c>
      <c r="M160" s="3"/>
    </row>
    <row r="161" spans="1:13" x14ac:dyDescent="0.25">
      <c r="A161" s="3" t="s">
        <v>1371</v>
      </c>
      <c r="B161" s="10" t="s">
        <v>1351</v>
      </c>
      <c r="C161" s="3" t="str">
        <f>("294900")</f>
        <v>294900</v>
      </c>
      <c r="D161" s="11" t="str">
        <f>("622454608320")</f>
        <v>622454608320</v>
      </c>
      <c r="E161" s="3"/>
      <c r="F161" s="8" t="s">
        <v>161</v>
      </c>
      <c r="G161" s="14">
        <v>2521.5066063473082</v>
      </c>
      <c r="H161" s="35">
        <v>45689</v>
      </c>
      <c r="I161" s="3">
        <v>49.697000000000003</v>
      </c>
      <c r="J161" s="3" t="s">
        <v>10</v>
      </c>
      <c r="K161" s="11" t="str">
        <f>("00622454608320")</f>
        <v>00622454608320</v>
      </c>
      <c r="L161" s="3">
        <v>1</v>
      </c>
      <c r="M161" s="3"/>
    </row>
    <row r="162" spans="1:13" x14ac:dyDescent="0.25">
      <c r="A162" s="3" t="s">
        <v>1371</v>
      </c>
      <c r="B162" s="10" t="s">
        <v>1351</v>
      </c>
      <c r="C162" s="3" t="str">
        <f>("294904")</f>
        <v>294904</v>
      </c>
      <c r="D162" s="11" t="str">
        <f>("622454608368")</f>
        <v>622454608368</v>
      </c>
      <c r="E162" s="3"/>
      <c r="F162" s="8" t="s">
        <v>162</v>
      </c>
      <c r="G162" s="14">
        <v>2263.0460291805962</v>
      </c>
      <c r="H162" s="35">
        <v>45689</v>
      </c>
      <c r="I162" s="3">
        <v>45.252000000000002</v>
      </c>
      <c r="J162" s="3" t="s">
        <v>10</v>
      </c>
      <c r="K162" s="11" t="str">
        <f>("00622454608368")</f>
        <v>00622454608368</v>
      </c>
      <c r="L162" s="3">
        <v>1</v>
      </c>
      <c r="M162" s="3"/>
    </row>
    <row r="163" spans="1:13" x14ac:dyDescent="0.25">
      <c r="A163" s="3" t="s">
        <v>1371</v>
      </c>
      <c r="B163" s="10" t="s">
        <v>1351</v>
      </c>
      <c r="C163" s="3" t="str">
        <f>("294908")</f>
        <v>294908</v>
      </c>
      <c r="D163" s="11" t="str">
        <f>("622454608405")</f>
        <v>622454608405</v>
      </c>
      <c r="E163" s="3"/>
      <c r="F163" s="8" t="s">
        <v>163</v>
      </c>
      <c r="G163" s="14">
        <v>2054.1053817561001</v>
      </c>
      <c r="H163" s="35">
        <v>45689</v>
      </c>
      <c r="I163" s="3">
        <v>41.274999999999999</v>
      </c>
      <c r="J163" s="3" t="s">
        <v>10</v>
      </c>
      <c r="K163" s="11" t="str">
        <f>("10622454608402")</f>
        <v>10622454608402</v>
      </c>
      <c r="L163" s="3">
        <v>5</v>
      </c>
      <c r="M163" s="3"/>
    </row>
    <row r="164" spans="1:13" x14ac:dyDescent="0.25">
      <c r="A164" s="3" t="s">
        <v>1371</v>
      </c>
      <c r="B164" s="10" t="s">
        <v>1351</v>
      </c>
      <c r="C164" s="3" t="str">
        <f>("294912")</f>
        <v>294912</v>
      </c>
      <c r="D164" s="11" t="str">
        <f>("622454608443")</f>
        <v>622454608443</v>
      </c>
      <c r="E164" s="3"/>
      <c r="F164" s="8" t="s">
        <v>164</v>
      </c>
      <c r="G164" s="14">
        <v>1783.5046727822426</v>
      </c>
      <c r="H164" s="35">
        <v>45689</v>
      </c>
      <c r="I164" s="3">
        <v>42.945999999999998</v>
      </c>
      <c r="J164" s="3" t="s">
        <v>10</v>
      </c>
      <c r="K164" s="11" t="str">
        <f>("00622454608443")</f>
        <v>00622454608443</v>
      </c>
      <c r="L164" s="3">
        <v>1</v>
      </c>
      <c r="M164" s="3"/>
    </row>
    <row r="165" spans="1:13" x14ac:dyDescent="0.25">
      <c r="A165" s="3" t="s">
        <v>1371</v>
      </c>
      <c r="B165" s="10" t="s">
        <v>1351</v>
      </c>
      <c r="C165" s="3" t="str">
        <f>("294916")</f>
        <v>294916</v>
      </c>
      <c r="D165" s="11" t="str">
        <f>("622454608481")</f>
        <v>622454608481</v>
      </c>
      <c r="E165" s="3"/>
      <c r="F165" s="8" t="s">
        <v>165</v>
      </c>
      <c r="G165" s="14">
        <v>5274.5736193828825</v>
      </c>
      <c r="H165" s="35">
        <v>45689</v>
      </c>
      <c r="I165" s="3">
        <v>60.241</v>
      </c>
      <c r="J165" s="3" t="s">
        <v>10</v>
      </c>
      <c r="K165" s="11" t="str">
        <f>("00622454608481")</f>
        <v>00622454608481</v>
      </c>
      <c r="L165" s="3">
        <v>1</v>
      </c>
      <c r="M165" s="3"/>
    </row>
    <row r="166" spans="1:13" x14ac:dyDescent="0.25">
      <c r="A166" s="3" t="s">
        <v>1371</v>
      </c>
      <c r="B166" s="10" t="s">
        <v>1351</v>
      </c>
      <c r="C166" s="3" t="str">
        <f>("294920")</f>
        <v>294920</v>
      </c>
      <c r="D166" s="11" t="str">
        <f>("622454608528")</f>
        <v>622454608528</v>
      </c>
      <c r="E166" s="3"/>
      <c r="F166" s="8" t="s">
        <v>166</v>
      </c>
      <c r="G166" s="14">
        <v>5030.7131804685332</v>
      </c>
      <c r="H166" s="35">
        <v>45689</v>
      </c>
      <c r="I166" s="3">
        <v>62.15</v>
      </c>
      <c r="J166" s="3" t="s">
        <v>10</v>
      </c>
      <c r="K166" s="11" t="str">
        <f>("00622454608528")</f>
        <v>00622454608528</v>
      </c>
      <c r="L166" s="3">
        <v>1</v>
      </c>
      <c r="M166" s="3"/>
    </row>
    <row r="167" spans="1:13" x14ac:dyDescent="0.25">
      <c r="A167" s="3" t="s">
        <v>1371</v>
      </c>
      <c r="B167" s="10" t="s">
        <v>1351</v>
      </c>
      <c r="C167" s="3" t="str">
        <f>("294924")</f>
        <v>294924</v>
      </c>
      <c r="D167" s="11" t="str">
        <f>("622454608566")</f>
        <v>622454608566</v>
      </c>
      <c r="E167" s="3"/>
      <c r="F167" s="8" t="s">
        <v>167</v>
      </c>
      <c r="G167" s="14">
        <v>4268.1111824512973</v>
      </c>
      <c r="H167" s="35">
        <v>45689</v>
      </c>
      <c r="I167" s="3">
        <v>63.902999999999999</v>
      </c>
      <c r="J167" s="3" t="s">
        <v>10</v>
      </c>
      <c r="K167" s="11" t="str">
        <f>("00622454608566")</f>
        <v>00622454608566</v>
      </c>
      <c r="L167" s="3">
        <v>1</v>
      </c>
      <c r="M167" s="3"/>
    </row>
    <row r="168" spans="1:13" x14ac:dyDescent="0.25">
      <c r="A168" s="3" t="s">
        <v>1371</v>
      </c>
      <c r="B168" s="10" t="s">
        <v>1351</v>
      </c>
      <c r="C168" s="3" t="str">
        <f>("294928")</f>
        <v>294928</v>
      </c>
      <c r="D168" s="11" t="str">
        <f>("622454608603")</f>
        <v>622454608603</v>
      </c>
      <c r="E168" s="3"/>
      <c r="F168" s="8" t="s">
        <v>168</v>
      </c>
      <c r="G168" s="14">
        <v>3985.2104412513554</v>
      </c>
      <c r="H168" s="35">
        <v>45689</v>
      </c>
      <c r="I168" s="3">
        <v>65.531999999999996</v>
      </c>
      <c r="J168" s="3" t="s">
        <v>10</v>
      </c>
      <c r="K168" s="11" t="str">
        <f>("00622454608603")</f>
        <v>00622454608603</v>
      </c>
      <c r="L168" s="3">
        <v>1</v>
      </c>
      <c r="M168" s="3"/>
    </row>
    <row r="169" spans="1:13" x14ac:dyDescent="0.25">
      <c r="A169" s="3" t="s">
        <v>1371</v>
      </c>
      <c r="B169" s="10" t="s">
        <v>1351</v>
      </c>
      <c r="C169" s="3" t="str">
        <f>("294932")</f>
        <v>294932</v>
      </c>
      <c r="D169" s="11" t="str">
        <f>("622454608641")</f>
        <v>622454608641</v>
      </c>
      <c r="E169" s="3"/>
      <c r="F169" s="8" t="s">
        <v>169</v>
      </c>
      <c r="G169" s="14">
        <v>3726.9097645035831</v>
      </c>
      <c r="H169" s="35">
        <v>45689</v>
      </c>
      <c r="I169" s="3">
        <v>69.341999999999999</v>
      </c>
      <c r="J169" s="3" t="s">
        <v>10</v>
      </c>
      <c r="K169" s="11" t="str">
        <f>("00622454608641")</f>
        <v>00622454608641</v>
      </c>
      <c r="L169" s="3">
        <v>1</v>
      </c>
      <c r="M169" s="3"/>
    </row>
    <row r="170" spans="1:13" x14ac:dyDescent="0.25">
      <c r="A170" s="3" t="s">
        <v>1371</v>
      </c>
      <c r="B170" s="10" t="s">
        <v>1351</v>
      </c>
      <c r="C170" s="3" t="str">
        <f>("294936")</f>
        <v>294936</v>
      </c>
      <c r="D170" s="11" t="str">
        <f>("622454608689")</f>
        <v>622454608689</v>
      </c>
      <c r="E170" s="3"/>
      <c r="F170" s="8" t="s">
        <v>170</v>
      </c>
      <c r="G170" s="14">
        <v>3437.8590071905983</v>
      </c>
      <c r="H170" s="35">
        <v>45689</v>
      </c>
      <c r="I170" s="3">
        <v>54.994</v>
      </c>
      <c r="J170" s="3" t="s">
        <v>10</v>
      </c>
      <c r="K170" s="11" t="str">
        <f>("00622454608689")</f>
        <v>00622454608689</v>
      </c>
      <c r="L170" s="3">
        <v>1</v>
      </c>
      <c r="M170" s="3"/>
    </row>
    <row r="171" spans="1:13" x14ac:dyDescent="0.25">
      <c r="A171" s="3" t="s">
        <v>1371</v>
      </c>
      <c r="B171" s="10" t="s">
        <v>1351</v>
      </c>
      <c r="C171" s="3" t="str">
        <f>("294940")</f>
        <v>294940</v>
      </c>
      <c r="D171" s="11" t="str">
        <f>("622454608726")</f>
        <v>622454608726</v>
      </c>
      <c r="E171" s="3"/>
      <c r="F171" s="8" t="s">
        <v>171</v>
      </c>
      <c r="G171" s="14">
        <v>2569.0339308688986</v>
      </c>
      <c r="H171" s="35">
        <v>45689</v>
      </c>
      <c r="I171" s="3">
        <v>68.567999999999998</v>
      </c>
      <c r="J171" s="3" t="s">
        <v>10</v>
      </c>
      <c r="K171" s="11" t="str">
        <f>("10622454608723")</f>
        <v>10622454608723</v>
      </c>
      <c r="L171" s="3">
        <v>2</v>
      </c>
      <c r="M171" s="3"/>
    </row>
    <row r="172" spans="1:13" x14ac:dyDescent="0.25">
      <c r="A172" s="3" t="s">
        <v>1371</v>
      </c>
      <c r="B172" s="10" t="s">
        <v>1351</v>
      </c>
      <c r="C172" s="3" t="str">
        <f>("294944")</f>
        <v>294944</v>
      </c>
      <c r="D172" s="11" t="str">
        <f>("622454608764")</f>
        <v>622454608764</v>
      </c>
      <c r="E172" s="3"/>
      <c r="F172" s="8" t="s">
        <v>172</v>
      </c>
      <c r="G172" s="14">
        <v>6330.0270846709618</v>
      </c>
      <c r="H172" s="35">
        <v>45689</v>
      </c>
      <c r="I172" s="3">
        <v>83.947999999999993</v>
      </c>
      <c r="J172" s="3" t="s">
        <v>10</v>
      </c>
      <c r="K172" s="11" t="str">
        <f>("00622454608764")</f>
        <v>00622454608764</v>
      </c>
      <c r="L172" s="3">
        <v>1</v>
      </c>
      <c r="M172" s="3"/>
    </row>
    <row r="173" spans="1:13" x14ac:dyDescent="0.25">
      <c r="A173" s="3" t="s">
        <v>1371</v>
      </c>
      <c r="B173" s="10" t="s">
        <v>1351</v>
      </c>
      <c r="C173" s="3" t="str">
        <f>("294948")</f>
        <v>294948</v>
      </c>
      <c r="D173" s="11" t="str">
        <f>("622454608801")</f>
        <v>622454608801</v>
      </c>
      <c r="E173" s="3"/>
      <c r="F173" s="8" t="s">
        <v>173</v>
      </c>
      <c r="G173" s="14">
        <v>6303.4467150303926</v>
      </c>
      <c r="H173" s="35">
        <v>45689</v>
      </c>
      <c r="I173" s="3">
        <v>87.501000000000005</v>
      </c>
      <c r="J173" s="3" t="s">
        <v>10</v>
      </c>
      <c r="K173" s="11" t="str">
        <f>("00622454608801")</f>
        <v>00622454608801</v>
      </c>
      <c r="L173" s="3">
        <v>1</v>
      </c>
      <c r="M173" s="3"/>
    </row>
    <row r="174" spans="1:13" x14ac:dyDescent="0.25">
      <c r="A174" s="3" t="s">
        <v>1371</v>
      </c>
      <c r="B174" s="10" t="s">
        <v>1351</v>
      </c>
      <c r="C174" s="3" t="str">
        <f>("294952")</f>
        <v>294952</v>
      </c>
      <c r="D174" s="11" t="str">
        <f>("622454608849")</f>
        <v>622454608849</v>
      </c>
      <c r="E174" s="3"/>
      <c r="F174" s="8" t="s">
        <v>174</v>
      </c>
      <c r="G174" s="14">
        <v>6104.6412941601902</v>
      </c>
      <c r="H174" s="35">
        <v>45689</v>
      </c>
      <c r="I174" s="3">
        <v>101.36</v>
      </c>
      <c r="J174" s="3" t="s">
        <v>10</v>
      </c>
      <c r="K174" s="11" t="str">
        <f>("00622454608849")</f>
        <v>00622454608849</v>
      </c>
      <c r="L174" s="3">
        <v>1</v>
      </c>
      <c r="M174" s="3"/>
    </row>
    <row r="175" spans="1:13" x14ac:dyDescent="0.25">
      <c r="A175" s="3" t="s">
        <v>1371</v>
      </c>
      <c r="B175" s="10" t="s">
        <v>1351</v>
      </c>
      <c r="C175" s="3" t="str">
        <f>("294956")</f>
        <v>294956</v>
      </c>
      <c r="D175" s="11" t="str">
        <f>("622454608887")</f>
        <v>622454608887</v>
      </c>
      <c r="E175" s="3"/>
      <c r="F175" s="8" t="s">
        <v>175</v>
      </c>
      <c r="G175" s="14">
        <v>5351.9531221171792</v>
      </c>
      <c r="H175" s="35">
        <v>45689</v>
      </c>
      <c r="I175" s="3">
        <v>91.492000000000004</v>
      </c>
      <c r="J175" s="3" t="s">
        <v>10</v>
      </c>
      <c r="K175" s="11" t="str">
        <f>("00622454608887")</f>
        <v>00622454608887</v>
      </c>
      <c r="L175" s="3">
        <v>1</v>
      </c>
      <c r="M175" s="3"/>
    </row>
    <row r="176" spans="1:13" x14ac:dyDescent="0.25">
      <c r="A176" s="3" t="s">
        <v>1371</v>
      </c>
      <c r="B176" s="10" t="s">
        <v>1351</v>
      </c>
      <c r="C176" s="3" t="str">
        <f>("294960")</f>
        <v>294960</v>
      </c>
      <c r="D176" s="11" t="str">
        <f>("622454608924")</f>
        <v>622454608924</v>
      </c>
      <c r="E176" s="3"/>
      <c r="F176" s="8" t="s">
        <v>176</v>
      </c>
      <c r="G176" s="14">
        <v>5278.6326300174906</v>
      </c>
      <c r="H176" s="35">
        <v>45689</v>
      </c>
      <c r="I176" s="3">
        <v>94.251999999999995</v>
      </c>
      <c r="J176" s="3" t="s">
        <v>10</v>
      </c>
      <c r="K176" s="11" t="str">
        <f>("00622454608924")</f>
        <v>00622454608924</v>
      </c>
      <c r="L176" s="3">
        <v>1</v>
      </c>
      <c r="M176" s="3"/>
    </row>
    <row r="177" spans="1:13" x14ac:dyDescent="0.25">
      <c r="A177" s="3" t="s">
        <v>1371</v>
      </c>
      <c r="B177" s="10" t="s">
        <v>1351</v>
      </c>
      <c r="C177" s="3" t="str">
        <f>("294964")</f>
        <v>294964</v>
      </c>
      <c r="D177" s="11" t="str">
        <f>("622454608962")</f>
        <v>622454608962</v>
      </c>
      <c r="E177" s="3"/>
      <c r="F177" s="8" t="s">
        <v>177</v>
      </c>
      <c r="G177" s="14">
        <v>5213.4301591870171</v>
      </c>
      <c r="H177" s="35">
        <v>45689</v>
      </c>
      <c r="I177" s="3">
        <v>110.059</v>
      </c>
      <c r="J177" s="3" t="s">
        <v>10</v>
      </c>
      <c r="K177" s="11" t="str">
        <f>("00622454608962")</f>
        <v>00622454608962</v>
      </c>
      <c r="L177" s="3">
        <v>1</v>
      </c>
      <c r="M177" s="3"/>
    </row>
    <row r="178" spans="1:13" x14ac:dyDescent="0.25">
      <c r="A178" s="3" t="s">
        <v>1371</v>
      </c>
      <c r="B178" s="10" t="s">
        <v>1351</v>
      </c>
      <c r="C178" s="3" t="str">
        <f>("294968")</f>
        <v>294968</v>
      </c>
      <c r="D178" s="11" t="str">
        <f>("622454609006")</f>
        <v>622454609006</v>
      </c>
      <c r="E178" s="3"/>
      <c r="F178" s="8" t="s">
        <v>178</v>
      </c>
      <c r="G178" s="14">
        <v>4918.2293857609902</v>
      </c>
      <c r="H178" s="35">
        <v>45689</v>
      </c>
      <c r="I178" s="3">
        <v>81.247</v>
      </c>
      <c r="J178" s="3" t="s">
        <v>10</v>
      </c>
      <c r="K178" s="11" t="str">
        <f>("00622454609006")</f>
        <v>00622454609006</v>
      </c>
      <c r="L178" s="3">
        <v>1</v>
      </c>
      <c r="M178" s="3"/>
    </row>
    <row r="179" spans="1:13" x14ac:dyDescent="0.25">
      <c r="A179" s="3" t="s">
        <v>1371</v>
      </c>
      <c r="B179" s="10" t="s">
        <v>1351</v>
      </c>
      <c r="C179" s="3" t="str">
        <f>("294972")</f>
        <v>294972</v>
      </c>
      <c r="D179" s="11" t="str">
        <f>("622454609044")</f>
        <v>622454609044</v>
      </c>
      <c r="E179" s="3"/>
      <c r="F179" s="8" t="s">
        <v>179</v>
      </c>
      <c r="G179" s="14">
        <v>4344.986383864325</v>
      </c>
      <c r="H179" s="35">
        <v>45689</v>
      </c>
      <c r="I179" s="3">
        <v>92.701999999999998</v>
      </c>
      <c r="J179" s="3" t="s">
        <v>10</v>
      </c>
      <c r="K179" s="11" t="str">
        <f>("10622454609041")</f>
        <v>10622454609041</v>
      </c>
      <c r="L179" s="3">
        <v>4</v>
      </c>
      <c r="M179" s="3"/>
    </row>
    <row r="180" spans="1:13" x14ac:dyDescent="0.25">
      <c r="A180" s="3" t="s">
        <v>1371</v>
      </c>
      <c r="B180" s="10" t="s">
        <v>1351</v>
      </c>
      <c r="C180" s="3" t="str">
        <f>("294976")</f>
        <v>294976</v>
      </c>
      <c r="D180" s="11" t="str">
        <f>("622454609082")</f>
        <v>622454609082</v>
      </c>
      <c r="E180" s="3"/>
      <c r="F180" s="8" t="s">
        <v>180</v>
      </c>
      <c r="G180" s="14">
        <v>11568.032708245695</v>
      </c>
      <c r="H180" s="35">
        <v>45689</v>
      </c>
      <c r="I180" s="3">
        <v>122.28400000000001</v>
      </c>
      <c r="J180" s="3" t="s">
        <v>10</v>
      </c>
      <c r="K180" s="11" t="str">
        <f>("00622454609082")</f>
        <v>00622454609082</v>
      </c>
      <c r="L180" s="3">
        <v>1</v>
      </c>
      <c r="M180" s="3"/>
    </row>
    <row r="181" spans="1:13" x14ac:dyDescent="0.25">
      <c r="A181" s="3" t="s">
        <v>1371</v>
      </c>
      <c r="B181" s="10" t="s">
        <v>1351</v>
      </c>
      <c r="C181" s="3" t="str">
        <f>("294980")</f>
        <v>294980</v>
      </c>
      <c r="D181" s="11" t="str">
        <f>("622454609129")</f>
        <v>622454609129</v>
      </c>
      <c r="E181" s="3"/>
      <c r="F181" s="8" t="s">
        <v>181</v>
      </c>
      <c r="G181" s="14">
        <v>11644.034607370671</v>
      </c>
      <c r="H181" s="35">
        <v>45689</v>
      </c>
      <c r="I181" s="3">
        <v>123.163</v>
      </c>
      <c r="J181" s="3" t="s">
        <v>10</v>
      </c>
      <c r="K181" s="11" t="str">
        <f>("00622454609129")</f>
        <v>00622454609129</v>
      </c>
      <c r="L181" s="3">
        <v>1</v>
      </c>
      <c r="M181" s="3"/>
    </row>
    <row r="182" spans="1:13" x14ac:dyDescent="0.25">
      <c r="A182" s="3" t="s">
        <v>1371</v>
      </c>
      <c r="B182" s="10" t="s">
        <v>1351</v>
      </c>
      <c r="C182" s="3" t="str">
        <f>("294984")</f>
        <v>294984</v>
      </c>
      <c r="D182" s="11" t="str">
        <f>("622454609228")</f>
        <v>622454609228</v>
      </c>
      <c r="E182" s="3"/>
      <c r="F182" s="8" t="s">
        <v>182</v>
      </c>
      <c r="G182" s="14">
        <v>11776.456754316696</v>
      </c>
      <c r="H182" s="35">
        <v>45689</v>
      </c>
      <c r="I182" s="3">
        <v>128.52699999999999</v>
      </c>
      <c r="J182" s="3" t="s">
        <v>10</v>
      </c>
      <c r="K182" s="11" t="str">
        <f>("00622454609228")</f>
        <v>00622454609228</v>
      </c>
      <c r="L182" s="3">
        <v>1</v>
      </c>
      <c r="M182" s="3"/>
    </row>
    <row r="183" spans="1:13" x14ac:dyDescent="0.25">
      <c r="A183" s="3" t="s">
        <v>1371</v>
      </c>
      <c r="B183" s="10" t="s">
        <v>1351</v>
      </c>
      <c r="C183" s="3">
        <v>294998</v>
      </c>
      <c r="D183" s="11" t="str">
        <f>("622454609297")</f>
        <v>622454609297</v>
      </c>
      <c r="E183" s="3"/>
      <c r="F183" s="8" t="s">
        <v>183</v>
      </c>
      <c r="G183" s="14">
        <v>10181.511575560326</v>
      </c>
      <c r="H183" s="35">
        <v>45689</v>
      </c>
      <c r="I183" s="3">
        <v>124.411</v>
      </c>
      <c r="J183" s="3" t="s">
        <v>10</v>
      </c>
      <c r="K183" s="11" t="str">
        <f>("00622454609297")</f>
        <v>00622454609297</v>
      </c>
      <c r="L183" s="3">
        <v>1</v>
      </c>
      <c r="M183" s="3"/>
    </row>
    <row r="184" spans="1:13" x14ac:dyDescent="0.25">
      <c r="A184" s="3" t="s">
        <v>1371</v>
      </c>
      <c r="B184" s="10" t="s">
        <v>1351</v>
      </c>
      <c r="C184" s="3" t="str">
        <f>("294992")</f>
        <v>294992</v>
      </c>
      <c r="D184" s="11" t="str">
        <f>("622454609334")</f>
        <v>622454609334</v>
      </c>
      <c r="E184" s="3"/>
      <c r="F184" s="8" t="s">
        <v>184</v>
      </c>
      <c r="G184" s="14">
        <v>9845.8805962071619</v>
      </c>
      <c r="H184" s="35">
        <v>45689</v>
      </c>
      <c r="I184" s="3">
        <v>140.19200000000001</v>
      </c>
      <c r="J184" s="3" t="s">
        <v>10</v>
      </c>
      <c r="K184" s="11" t="str">
        <f>("00622454609334")</f>
        <v>00622454609334</v>
      </c>
      <c r="L184" s="3">
        <v>1</v>
      </c>
      <c r="M184" s="3"/>
    </row>
    <row r="185" spans="1:13" x14ac:dyDescent="0.25">
      <c r="A185" s="3" t="s">
        <v>1371</v>
      </c>
      <c r="B185" s="10" t="s">
        <v>1351</v>
      </c>
      <c r="C185" s="3" t="str">
        <f>("294996")</f>
        <v>294996</v>
      </c>
      <c r="D185" s="11" t="str">
        <f>("622454609372")</f>
        <v>622454609372</v>
      </c>
      <c r="E185" s="3"/>
      <c r="F185" s="8" t="s">
        <v>185</v>
      </c>
      <c r="G185" s="14">
        <v>9336.0319604037359</v>
      </c>
      <c r="H185" s="35">
        <v>45689</v>
      </c>
      <c r="I185" s="3">
        <v>136.964</v>
      </c>
      <c r="J185" s="3" t="s">
        <v>10</v>
      </c>
      <c r="K185" s="11" t="str">
        <f>("00622454609372")</f>
        <v>00622454609372</v>
      </c>
      <c r="L185" s="3">
        <v>1</v>
      </c>
      <c r="M185" s="3"/>
    </row>
    <row r="186" spans="1:13" x14ac:dyDescent="0.25">
      <c r="A186" s="3" t="s">
        <v>1371</v>
      </c>
      <c r="B186" s="10" t="s">
        <v>1351</v>
      </c>
      <c r="C186" s="3" t="str">
        <f>("295000")</f>
        <v>295000</v>
      </c>
      <c r="D186" s="11" t="str">
        <f>("622454609419")</f>
        <v>622454609419</v>
      </c>
      <c r="E186" s="3"/>
      <c r="F186" s="8" t="s">
        <v>186</v>
      </c>
      <c r="G186" s="14">
        <v>9495.01</v>
      </c>
      <c r="H186" s="35">
        <v>45689</v>
      </c>
      <c r="I186" s="3">
        <v>144.614</v>
      </c>
      <c r="J186" s="3" t="s">
        <v>10</v>
      </c>
      <c r="K186" s="11" t="str">
        <f>("00622454609419")</f>
        <v>00622454609419</v>
      </c>
      <c r="L186" s="3">
        <v>1</v>
      </c>
      <c r="M186" s="3"/>
    </row>
    <row r="187" spans="1:13" x14ac:dyDescent="0.25">
      <c r="A187" s="3" t="s">
        <v>1371</v>
      </c>
      <c r="B187" s="10" t="s">
        <v>1351</v>
      </c>
      <c r="C187" s="3" t="str">
        <f>("295004")</f>
        <v>295004</v>
      </c>
      <c r="D187" s="11" t="str">
        <f>("622454609457")</f>
        <v>622454609457</v>
      </c>
      <c r="E187" s="3"/>
      <c r="F187" s="8" t="s">
        <v>187</v>
      </c>
      <c r="G187" s="14">
        <v>7590.6450874901284</v>
      </c>
      <c r="H187" s="35">
        <v>45689</v>
      </c>
      <c r="I187" s="3">
        <v>122.378</v>
      </c>
      <c r="J187" s="3" t="s">
        <v>10</v>
      </c>
      <c r="K187" s="11" t="str">
        <f>("00622454609457")</f>
        <v>00622454609457</v>
      </c>
      <c r="L187" s="3">
        <v>1</v>
      </c>
      <c r="M187" s="3"/>
    </row>
    <row r="188" spans="1:13" x14ac:dyDescent="0.25">
      <c r="A188" s="3" t="s">
        <v>1371</v>
      </c>
      <c r="B188" s="10" t="s">
        <v>1351</v>
      </c>
      <c r="C188" s="3" t="str">
        <f>("295008")</f>
        <v>295008</v>
      </c>
      <c r="D188" s="11" t="str">
        <f>("622454609495")</f>
        <v>622454609495</v>
      </c>
      <c r="E188" s="3"/>
      <c r="F188" s="8" t="s">
        <v>188</v>
      </c>
      <c r="G188" s="14">
        <v>5706.2924504862203</v>
      </c>
      <c r="H188" s="35">
        <v>45689</v>
      </c>
      <c r="I188" s="3">
        <v>132.196</v>
      </c>
      <c r="J188" s="3" t="s">
        <v>10</v>
      </c>
      <c r="K188" s="11" t="str">
        <f>("00622454609495")</f>
        <v>00622454609495</v>
      </c>
      <c r="L188" s="3">
        <v>1</v>
      </c>
      <c r="M188" s="3"/>
    </row>
    <row r="189" spans="1:13" x14ac:dyDescent="0.25">
      <c r="A189" s="3" t="s">
        <v>1371</v>
      </c>
      <c r="B189" s="10" t="s">
        <v>1351</v>
      </c>
      <c r="C189" s="3" t="str">
        <f>("755234")</f>
        <v>755234</v>
      </c>
      <c r="D189" s="11" t="str">
        <f>("662671193148")</f>
        <v>662671193148</v>
      </c>
      <c r="E189" s="3">
        <v>192860</v>
      </c>
      <c r="F189" s="8" t="s">
        <v>189</v>
      </c>
      <c r="G189" s="14">
        <v>36.881633881792816</v>
      </c>
      <c r="H189" s="35">
        <v>45689</v>
      </c>
      <c r="I189" s="3">
        <v>8.2000000000000003E-2</v>
      </c>
      <c r="J189" s="3" t="s">
        <v>3</v>
      </c>
      <c r="K189" s="11" t="str">
        <f>("10662671193145")</f>
        <v>10662671193145</v>
      </c>
      <c r="L189" s="3">
        <v>100</v>
      </c>
      <c r="M189" s="3">
        <v>7200</v>
      </c>
    </row>
    <row r="190" spans="1:13" x14ac:dyDescent="0.25">
      <c r="A190" s="3" t="s">
        <v>1371</v>
      </c>
      <c r="B190" s="10" t="s">
        <v>1351</v>
      </c>
      <c r="C190" s="3" t="str">
        <f>("755260")</f>
        <v>755260</v>
      </c>
      <c r="D190" s="11" t="str">
        <f>("662671192288")</f>
        <v>662671192288</v>
      </c>
      <c r="E190" s="3">
        <v>192871</v>
      </c>
      <c r="F190" s="8" t="s">
        <v>190</v>
      </c>
      <c r="G190" s="14">
        <v>25.466936705028168</v>
      </c>
      <c r="H190" s="35">
        <v>45689</v>
      </c>
      <c r="I190" s="3">
        <v>6.6000000000000003E-2</v>
      </c>
      <c r="J190" s="3" t="s">
        <v>3</v>
      </c>
      <c r="K190" s="11" t="str">
        <f>("10662671192285")</f>
        <v>10662671192285</v>
      </c>
      <c r="L190" s="3">
        <v>125</v>
      </c>
      <c r="M190" s="3">
        <v>9000</v>
      </c>
    </row>
    <row r="191" spans="1:13" x14ac:dyDescent="0.25">
      <c r="A191" s="3" t="s">
        <v>1371</v>
      </c>
      <c r="B191" s="10" t="s">
        <v>1351</v>
      </c>
      <c r="C191" s="3" t="str">
        <f>("755261")</f>
        <v>755261</v>
      </c>
      <c r="D191" s="11" t="str">
        <f>("662671192295")</f>
        <v>662671192295</v>
      </c>
      <c r="E191" s="3">
        <v>192872</v>
      </c>
      <c r="F191" s="8" t="s">
        <v>191</v>
      </c>
      <c r="G191" s="14">
        <v>34.229438517230037</v>
      </c>
      <c r="H191" s="35">
        <v>45689</v>
      </c>
      <c r="I191" s="3">
        <v>0.106</v>
      </c>
      <c r="J191" s="3" t="s">
        <v>3</v>
      </c>
      <c r="K191" s="11" t="str">
        <f>("10662671192292")</f>
        <v>10662671192292</v>
      </c>
      <c r="L191" s="3">
        <v>80</v>
      </c>
      <c r="M191" s="3">
        <v>5760</v>
      </c>
    </row>
    <row r="192" spans="1:13" x14ac:dyDescent="0.25">
      <c r="A192" s="3" t="s">
        <v>1371</v>
      </c>
      <c r="B192" s="10" t="s">
        <v>1351</v>
      </c>
      <c r="C192" s="3" t="str">
        <f>("755262")</f>
        <v>755262</v>
      </c>
      <c r="D192" s="11" t="str">
        <f>("662671192509")</f>
        <v>662671192509</v>
      </c>
      <c r="E192" s="3">
        <v>192873</v>
      </c>
      <c r="F192" s="8" t="s">
        <v>192</v>
      </c>
      <c r="G192" s="14">
        <v>95.669522294090299</v>
      </c>
      <c r="H192" s="35">
        <v>45689</v>
      </c>
      <c r="I192" s="3">
        <v>0.39700000000000002</v>
      </c>
      <c r="J192" s="3" t="s">
        <v>3</v>
      </c>
      <c r="K192" s="11" t="str">
        <f>("10662671192506")</f>
        <v>10662671192506</v>
      </c>
      <c r="L192" s="3">
        <v>30</v>
      </c>
      <c r="M192" s="3">
        <v>2160</v>
      </c>
    </row>
    <row r="193" spans="1:13" x14ac:dyDescent="0.25">
      <c r="A193" s="3" t="s">
        <v>1371</v>
      </c>
      <c r="B193" s="10" t="s">
        <v>1351</v>
      </c>
      <c r="C193" s="3" t="str">
        <f>("755263")</f>
        <v>755263</v>
      </c>
      <c r="D193" s="11" t="str">
        <f>("662671192660")</f>
        <v>662671192660</v>
      </c>
      <c r="E193" s="3">
        <v>192874</v>
      </c>
      <c r="F193" s="8" t="s">
        <v>193</v>
      </c>
      <c r="G193" s="14">
        <v>216.61549212337826</v>
      </c>
      <c r="H193" s="35">
        <v>45689</v>
      </c>
      <c r="I193" s="3">
        <v>0.60599999999999998</v>
      </c>
      <c r="J193" s="3" t="s">
        <v>3</v>
      </c>
      <c r="K193" s="11" t="str">
        <f>("10662671192667")</f>
        <v>10662671192667</v>
      </c>
      <c r="L193" s="3">
        <v>15</v>
      </c>
      <c r="M193" s="3">
        <v>1080</v>
      </c>
    </row>
    <row r="194" spans="1:13" x14ac:dyDescent="0.25">
      <c r="A194" s="3" t="s">
        <v>1371</v>
      </c>
      <c r="B194" s="10" t="s">
        <v>1351</v>
      </c>
      <c r="C194" s="3" t="str">
        <f>("755264")</f>
        <v>755264</v>
      </c>
      <c r="D194" s="11" t="str">
        <f>("662671191007")</f>
        <v>662671191007</v>
      </c>
      <c r="E194" s="3">
        <v>192876</v>
      </c>
      <c r="F194" s="8" t="s">
        <v>194</v>
      </c>
      <c r="G194" s="14">
        <v>424.36591134310748</v>
      </c>
      <c r="H194" s="35">
        <v>45689</v>
      </c>
      <c r="I194" s="3">
        <v>1.625</v>
      </c>
      <c r="J194" s="3" t="s">
        <v>3</v>
      </c>
      <c r="K194" s="11" t="str">
        <f>("10662671191004")</f>
        <v>10662671191004</v>
      </c>
      <c r="L194" s="3">
        <v>5</v>
      </c>
      <c r="M194" s="3">
        <v>240</v>
      </c>
    </row>
    <row r="195" spans="1:13" x14ac:dyDescent="0.25">
      <c r="A195" s="3" t="s">
        <v>1371</v>
      </c>
      <c r="B195" s="10" t="s">
        <v>1351</v>
      </c>
      <c r="C195" s="3" t="str">
        <f>("294706")</f>
        <v>294706</v>
      </c>
      <c r="D195" s="11" t="str">
        <f>("622454606302")</f>
        <v>622454606302</v>
      </c>
      <c r="E195" s="3"/>
      <c r="F195" s="8" t="s">
        <v>195</v>
      </c>
      <c r="G195" s="14">
        <v>1521.4032860766094</v>
      </c>
      <c r="H195" s="35">
        <v>45689</v>
      </c>
      <c r="I195" s="3">
        <v>4.7160000000000002</v>
      </c>
      <c r="J195" s="3" t="s">
        <v>10</v>
      </c>
      <c r="K195" s="11" t="str">
        <f>("00622454606302")</f>
        <v>00622454606302</v>
      </c>
      <c r="L195" s="3">
        <v>1</v>
      </c>
      <c r="M195" s="3"/>
    </row>
    <row r="196" spans="1:13" x14ac:dyDescent="0.25">
      <c r="A196" s="3" t="s">
        <v>1371</v>
      </c>
      <c r="B196" s="10" t="s">
        <v>1351</v>
      </c>
      <c r="C196" s="3" t="str">
        <f>("294720")</f>
        <v>294720</v>
      </c>
      <c r="D196" s="11" t="str">
        <f>("622454606449")</f>
        <v>622454606449</v>
      </c>
      <c r="E196" s="3"/>
      <c r="F196" s="8" t="s">
        <v>196</v>
      </c>
      <c r="G196" s="14">
        <v>2497.8167442798699</v>
      </c>
      <c r="H196" s="35">
        <v>45689</v>
      </c>
      <c r="I196" s="3">
        <v>9.0570000000000004</v>
      </c>
      <c r="J196" s="3" t="s">
        <v>10</v>
      </c>
      <c r="K196" s="11" t="str">
        <f>("00622454606449")</f>
        <v>00622454606449</v>
      </c>
      <c r="L196" s="3">
        <v>1</v>
      </c>
      <c r="M196" s="3"/>
    </row>
    <row r="197" spans="1:13" x14ac:dyDescent="0.25">
      <c r="A197" s="3" t="s">
        <v>1371</v>
      </c>
      <c r="B197" s="10" t="s">
        <v>1351</v>
      </c>
      <c r="C197" s="3" t="str">
        <f>("294733")</f>
        <v>294733</v>
      </c>
      <c r="D197" s="11" t="str">
        <f>("622454606579")</f>
        <v>622454606579</v>
      </c>
      <c r="E197" s="3"/>
      <c r="F197" s="8" t="s">
        <v>197</v>
      </c>
      <c r="G197" s="14">
        <v>3702.4327003736748</v>
      </c>
      <c r="H197" s="35">
        <v>45689</v>
      </c>
      <c r="I197" s="3">
        <v>15.41</v>
      </c>
      <c r="J197" s="3" t="s">
        <v>10</v>
      </c>
      <c r="K197" s="11" t="str">
        <f>("00622454606579")</f>
        <v>00622454606579</v>
      </c>
      <c r="L197" s="3">
        <v>1</v>
      </c>
      <c r="M197" s="3"/>
    </row>
    <row r="198" spans="1:13" x14ac:dyDescent="0.25">
      <c r="A198" s="3" t="s">
        <v>1371</v>
      </c>
      <c r="B198" s="10" t="s">
        <v>1351</v>
      </c>
      <c r="C198" s="3" t="str">
        <f>("755270")</f>
        <v>755270</v>
      </c>
      <c r="D198" s="11" t="str">
        <f>("662671191489")</f>
        <v>662671191489</v>
      </c>
      <c r="E198" s="3">
        <v>192891</v>
      </c>
      <c r="F198" s="8" t="s">
        <v>198</v>
      </c>
      <c r="G198" s="14">
        <v>25.305753561325464</v>
      </c>
      <c r="H198" s="35">
        <v>45689</v>
      </c>
      <c r="I198" s="3">
        <v>0.11</v>
      </c>
      <c r="J198" s="3" t="s">
        <v>3</v>
      </c>
      <c r="K198" s="11" t="str">
        <f>("10662671191486")</f>
        <v>10662671191486</v>
      </c>
      <c r="L198" s="3">
        <v>100</v>
      </c>
      <c r="M198" s="3">
        <v>7200</v>
      </c>
    </row>
    <row r="199" spans="1:13" x14ac:dyDescent="0.25">
      <c r="A199" s="3" t="s">
        <v>1371</v>
      </c>
      <c r="B199" s="10" t="s">
        <v>1351</v>
      </c>
      <c r="C199" s="3" t="str">
        <f>("755271")</f>
        <v>755271</v>
      </c>
      <c r="D199" s="11" t="str">
        <f>("662671191427")</f>
        <v>662671191427</v>
      </c>
      <c r="E199" s="3">
        <v>192892</v>
      </c>
      <c r="F199" s="8" t="s">
        <v>199</v>
      </c>
      <c r="G199" s="14">
        <v>43.285000590709558</v>
      </c>
      <c r="H199" s="35">
        <v>45689</v>
      </c>
      <c r="I199" s="3">
        <v>0.152</v>
      </c>
      <c r="J199" s="3" t="s">
        <v>3</v>
      </c>
      <c r="K199" s="11" t="str">
        <f>("10662671191424")</f>
        <v>10662671191424</v>
      </c>
      <c r="L199" s="3">
        <v>75</v>
      </c>
      <c r="M199" s="3">
        <v>5400</v>
      </c>
    </row>
    <row r="200" spans="1:13" x14ac:dyDescent="0.25">
      <c r="A200" s="3" t="s">
        <v>1371</v>
      </c>
      <c r="B200" s="10" t="s">
        <v>1351</v>
      </c>
      <c r="C200" s="3" t="str">
        <f>("755272")</f>
        <v>755272</v>
      </c>
      <c r="D200" s="11" t="str">
        <f>("662671191762")</f>
        <v>662671191762</v>
      </c>
      <c r="E200" s="3">
        <v>192893</v>
      </c>
      <c r="F200" s="8" t="s">
        <v>200</v>
      </c>
      <c r="G200" s="14">
        <v>115.48039595645974</v>
      </c>
      <c r="H200" s="35">
        <v>45689</v>
      </c>
      <c r="I200" s="3">
        <v>0.498</v>
      </c>
      <c r="J200" s="3" t="s">
        <v>3</v>
      </c>
      <c r="K200" s="11" t="str">
        <f>("10662671191769")</f>
        <v>10662671191769</v>
      </c>
      <c r="L200" s="3">
        <v>30</v>
      </c>
      <c r="M200" s="3">
        <v>1440</v>
      </c>
    </row>
    <row r="201" spans="1:13" x14ac:dyDescent="0.25">
      <c r="A201" s="3" t="s">
        <v>1371</v>
      </c>
      <c r="B201" s="10" t="s">
        <v>1351</v>
      </c>
      <c r="C201" s="3" t="str">
        <f>("755273")</f>
        <v>755273</v>
      </c>
      <c r="D201" s="11" t="str">
        <f>("662671192486")</f>
        <v>662671192486</v>
      </c>
      <c r="E201" s="3">
        <v>192894</v>
      </c>
      <c r="F201" s="8" t="s">
        <v>201</v>
      </c>
      <c r="G201" s="14">
        <v>149.97358870883963</v>
      </c>
      <c r="H201" s="35">
        <v>45689</v>
      </c>
      <c r="I201" s="3">
        <v>0.68799999999999994</v>
      </c>
      <c r="J201" s="3" t="s">
        <v>3</v>
      </c>
      <c r="K201" s="11" t="str">
        <f>("10662671192483")</f>
        <v>10662671192483</v>
      </c>
      <c r="L201" s="3">
        <v>25</v>
      </c>
      <c r="M201" s="3">
        <v>800</v>
      </c>
    </row>
    <row r="202" spans="1:13" x14ac:dyDescent="0.25">
      <c r="A202" s="3" t="s">
        <v>1371</v>
      </c>
      <c r="B202" s="10" t="s">
        <v>1351</v>
      </c>
      <c r="C202" s="3" t="str">
        <f>("626453")</f>
        <v>626453</v>
      </c>
      <c r="D202" s="11" t="str">
        <f>("622454876231")</f>
        <v>622454876231</v>
      </c>
      <c r="E202" s="3">
        <v>192896</v>
      </c>
      <c r="F202" s="8" t="s">
        <v>202</v>
      </c>
      <c r="G202" s="14">
        <v>481.2049490179084</v>
      </c>
      <c r="H202" s="35">
        <v>45689</v>
      </c>
      <c r="I202" s="3">
        <v>2.3460000000000001</v>
      </c>
      <c r="J202" s="3" t="s">
        <v>3</v>
      </c>
      <c r="K202" s="11" t="str">
        <f>("20622454876235")</f>
        <v>20622454876235</v>
      </c>
      <c r="L202" s="3">
        <v>10</v>
      </c>
      <c r="M202" s="3">
        <v>240</v>
      </c>
    </row>
    <row r="203" spans="1:13" x14ac:dyDescent="0.25">
      <c r="A203" s="3" t="s">
        <v>1371</v>
      </c>
      <c r="B203" s="10" t="s">
        <v>1351</v>
      </c>
      <c r="C203" s="3" t="str">
        <f>("294705")</f>
        <v>294705</v>
      </c>
      <c r="D203" s="11" t="str">
        <f>("622454606296")</f>
        <v>622454606296</v>
      </c>
      <c r="E203" s="3"/>
      <c r="F203" s="8" t="s">
        <v>203</v>
      </c>
      <c r="G203" s="14">
        <v>654.49701478217867</v>
      </c>
      <c r="H203" s="35">
        <v>45689</v>
      </c>
      <c r="I203" s="3">
        <v>5.6459999999999999</v>
      </c>
      <c r="J203" s="3" t="s">
        <v>10</v>
      </c>
      <c r="K203" s="11" t="str">
        <f>("10622454606293")</f>
        <v>10622454606293</v>
      </c>
      <c r="L203" s="3">
        <v>4</v>
      </c>
      <c r="M203" s="3">
        <v>48</v>
      </c>
    </row>
    <row r="204" spans="1:13" x14ac:dyDescent="0.25">
      <c r="A204" s="3" t="s">
        <v>1371</v>
      </c>
      <c r="B204" s="10" t="s">
        <v>1351</v>
      </c>
      <c r="C204" s="3" t="str">
        <f>("294719")</f>
        <v>294719</v>
      </c>
      <c r="D204" s="11" t="str">
        <f>("622454606432")</f>
        <v>622454606432</v>
      </c>
      <c r="E204" s="3"/>
      <c r="F204" s="8" t="s">
        <v>204</v>
      </c>
      <c r="G204" s="14">
        <v>2317.141570910916</v>
      </c>
      <c r="H204" s="35">
        <v>45689</v>
      </c>
      <c r="I204" s="3">
        <v>9.9559999999999995</v>
      </c>
      <c r="J204" s="3" t="s">
        <v>10</v>
      </c>
      <c r="K204" s="11" t="str">
        <f>("10622454606439")</f>
        <v>10622454606439</v>
      </c>
      <c r="L204" s="3">
        <v>2</v>
      </c>
      <c r="M204" s="3">
        <v>24</v>
      </c>
    </row>
    <row r="205" spans="1:13" x14ac:dyDescent="0.25">
      <c r="A205" s="3" t="s">
        <v>1371</v>
      </c>
      <c r="B205" s="10" t="s">
        <v>1351</v>
      </c>
      <c r="C205" s="3" t="str">
        <f>("294732")</f>
        <v>294732</v>
      </c>
      <c r="D205" s="11" t="str">
        <f>("622454606562")</f>
        <v>622454606562</v>
      </c>
      <c r="E205" s="3"/>
      <c r="F205" s="8" t="s">
        <v>205</v>
      </c>
      <c r="G205" s="14">
        <v>3361.5865073566488</v>
      </c>
      <c r="H205" s="35">
        <v>45689</v>
      </c>
      <c r="I205" s="3">
        <v>16.268000000000001</v>
      </c>
      <c r="J205" s="3" t="s">
        <v>10</v>
      </c>
      <c r="K205" s="11" t="str">
        <f>("10622454606569")</f>
        <v>10622454606569</v>
      </c>
      <c r="L205" s="3">
        <v>1</v>
      </c>
      <c r="M205" s="3">
        <v>18</v>
      </c>
    </row>
    <row r="206" spans="1:13" x14ac:dyDescent="0.25">
      <c r="A206" s="3" t="s">
        <v>1371</v>
      </c>
      <c r="B206" s="10" t="s">
        <v>1351</v>
      </c>
      <c r="C206" s="3" t="str">
        <f>("294744")</f>
        <v>294744</v>
      </c>
      <c r="D206" s="11" t="str">
        <f>("622454606685")</f>
        <v>622454606685</v>
      </c>
      <c r="E206" s="3"/>
      <c r="F206" s="8" t="s">
        <v>206</v>
      </c>
      <c r="G206" s="14">
        <v>4330.8536468365546</v>
      </c>
      <c r="H206" s="35">
        <v>45689</v>
      </c>
      <c r="I206" s="3">
        <v>23.678000000000001</v>
      </c>
      <c r="J206" s="3" t="s">
        <v>10</v>
      </c>
      <c r="K206" s="11" t="str">
        <f>("00622454606685")</f>
        <v>00622454606685</v>
      </c>
      <c r="L206" s="3">
        <v>1</v>
      </c>
      <c r="M206" s="3"/>
    </row>
    <row r="207" spans="1:13" x14ac:dyDescent="0.25">
      <c r="A207" s="3" t="s">
        <v>1371</v>
      </c>
      <c r="B207" s="10" t="s">
        <v>1351</v>
      </c>
      <c r="C207" s="3" t="str">
        <f>("294751")</f>
        <v>294751</v>
      </c>
      <c r="D207" s="11" t="str">
        <f>("622454606753")</f>
        <v>622454606753</v>
      </c>
      <c r="E207" s="3"/>
      <c r="F207" s="8" t="s">
        <v>207</v>
      </c>
      <c r="G207" s="14">
        <v>5632.2831565818697</v>
      </c>
      <c r="H207" s="35">
        <v>45689</v>
      </c>
      <c r="I207" s="3">
        <v>34.335000000000001</v>
      </c>
      <c r="J207" s="3" t="s">
        <v>10</v>
      </c>
      <c r="K207" s="11" t="str">
        <f>("00622454606753")</f>
        <v>00622454606753</v>
      </c>
      <c r="L207" s="3">
        <v>1</v>
      </c>
      <c r="M207" s="3"/>
    </row>
    <row r="208" spans="1:13" x14ac:dyDescent="0.25">
      <c r="A208" s="3" t="s">
        <v>1371</v>
      </c>
      <c r="B208" s="10" t="s">
        <v>1351</v>
      </c>
      <c r="C208" s="3" t="str">
        <f>("294758")</f>
        <v>294758</v>
      </c>
      <c r="D208" s="11" t="str">
        <f>("622454606821")</f>
        <v>622454606821</v>
      </c>
      <c r="E208" s="3"/>
      <c r="F208" s="8" t="s">
        <v>208</v>
      </c>
      <c r="G208" s="14">
        <v>8313.148980450329</v>
      </c>
      <c r="H208" s="35">
        <v>45689</v>
      </c>
      <c r="I208" s="3">
        <v>49.823999999999998</v>
      </c>
      <c r="J208" s="3" t="s">
        <v>10</v>
      </c>
      <c r="K208" s="11" t="str">
        <f>("00622454606821")</f>
        <v>00622454606821</v>
      </c>
      <c r="L208" s="3">
        <v>1</v>
      </c>
      <c r="M208" s="3"/>
    </row>
    <row r="209" spans="1:13" x14ac:dyDescent="0.25">
      <c r="A209" s="3" t="s">
        <v>1371</v>
      </c>
      <c r="B209" s="10" t="s">
        <v>1351</v>
      </c>
      <c r="C209" s="3" t="str">
        <f>("294766")</f>
        <v>294766</v>
      </c>
      <c r="D209" s="11" t="str">
        <f>("622454606906")</f>
        <v>622454606906</v>
      </c>
      <c r="E209" s="3"/>
      <c r="F209" s="8" t="s">
        <v>209</v>
      </c>
      <c r="G209" s="14">
        <v>11826.087384348946</v>
      </c>
      <c r="H209" s="35">
        <v>45689</v>
      </c>
      <c r="I209" s="3">
        <v>36.072000000000003</v>
      </c>
      <c r="J209" s="3" t="s">
        <v>10</v>
      </c>
      <c r="K209" s="11" t="str">
        <f>("00622454606906")</f>
        <v>00622454606906</v>
      </c>
      <c r="L209" s="3">
        <v>1</v>
      </c>
      <c r="M209" s="3"/>
    </row>
    <row r="210" spans="1:13" x14ac:dyDescent="0.25">
      <c r="A210" s="3" t="s">
        <v>1371</v>
      </c>
      <c r="B210" s="10" t="s">
        <v>1351</v>
      </c>
      <c r="C210" s="3" t="str">
        <f>("294773")</f>
        <v>294773</v>
      </c>
      <c r="D210" s="11" t="str">
        <f>("622454606975")</f>
        <v>622454606975</v>
      </c>
      <c r="E210" s="3"/>
      <c r="F210" s="8" t="s">
        <v>210</v>
      </c>
      <c r="G210" s="14">
        <v>15462.73951237752</v>
      </c>
      <c r="H210" s="35">
        <v>45689</v>
      </c>
      <c r="I210" s="3">
        <v>2E-3</v>
      </c>
      <c r="J210" s="3" t="s">
        <v>10</v>
      </c>
      <c r="K210" s="11" t="str">
        <f>("00622454606975")</f>
        <v>00622454606975</v>
      </c>
      <c r="L210" s="3">
        <v>1</v>
      </c>
      <c r="M210" s="3"/>
    </row>
    <row r="211" spans="1:13" x14ac:dyDescent="0.25">
      <c r="A211" s="3" t="s">
        <v>1371</v>
      </c>
      <c r="B211" s="10" t="s">
        <v>1351</v>
      </c>
      <c r="C211" s="3" t="str">
        <f>("755500")</f>
        <v>755500</v>
      </c>
      <c r="D211" s="11" t="str">
        <f>("662671192882")</f>
        <v>662671192882</v>
      </c>
      <c r="E211" s="3" t="s">
        <v>211</v>
      </c>
      <c r="F211" s="8" t="s">
        <v>212</v>
      </c>
      <c r="G211" s="14">
        <v>56.355488243692946</v>
      </c>
      <c r="H211" s="35">
        <v>45689</v>
      </c>
      <c r="I211" s="3">
        <v>0.14099999999999999</v>
      </c>
      <c r="J211" s="3" t="s">
        <v>3</v>
      </c>
      <c r="K211" s="11" t="str">
        <f>("10662671192889")</f>
        <v>10662671192889</v>
      </c>
      <c r="L211" s="3">
        <v>100</v>
      </c>
      <c r="M211" s="3">
        <v>7200</v>
      </c>
    </row>
    <row r="212" spans="1:13" x14ac:dyDescent="0.25">
      <c r="A212" s="3" t="s">
        <v>1371</v>
      </c>
      <c r="B212" s="10" t="s">
        <v>1351</v>
      </c>
      <c r="C212" s="3" t="str">
        <f>("755502")</f>
        <v>755502</v>
      </c>
      <c r="D212" s="11" t="str">
        <f>("662671192608")</f>
        <v>662671192608</v>
      </c>
      <c r="E212" s="3" t="s">
        <v>213</v>
      </c>
      <c r="F212" s="8" t="s">
        <v>214</v>
      </c>
      <c r="G212" s="14">
        <v>70.290503667445407</v>
      </c>
      <c r="H212" s="35">
        <v>45689</v>
      </c>
      <c r="I212" s="3">
        <v>0.20300000000000001</v>
      </c>
      <c r="J212" s="3" t="s">
        <v>3</v>
      </c>
      <c r="K212" s="11" t="str">
        <f>("10662671192605")</f>
        <v>10662671192605</v>
      </c>
      <c r="L212" s="3">
        <v>40</v>
      </c>
      <c r="M212" s="3">
        <v>5760</v>
      </c>
    </row>
    <row r="213" spans="1:13" x14ac:dyDescent="0.25">
      <c r="A213" s="3" t="s">
        <v>1371</v>
      </c>
      <c r="B213" s="10" t="s">
        <v>1351</v>
      </c>
      <c r="C213" s="3" t="str">
        <f>("755504")</f>
        <v>755504</v>
      </c>
      <c r="D213" s="11" t="str">
        <f>("662671191922")</f>
        <v>662671191922</v>
      </c>
      <c r="E213" s="3" t="s">
        <v>215</v>
      </c>
      <c r="F213" s="8" t="s">
        <v>216</v>
      </c>
      <c r="G213" s="14">
        <v>164.24562343306144</v>
      </c>
      <c r="H213" s="35">
        <v>45689</v>
      </c>
      <c r="I213" s="3">
        <v>0.56699999999999995</v>
      </c>
      <c r="J213" s="3" t="s">
        <v>3</v>
      </c>
      <c r="K213" s="11" t="str">
        <f>("10662671191929")</f>
        <v>10662671191929</v>
      </c>
      <c r="L213" s="3">
        <v>35</v>
      </c>
      <c r="M213" s="3">
        <v>1680</v>
      </c>
    </row>
    <row r="214" spans="1:13" x14ac:dyDescent="0.25">
      <c r="A214" s="3" t="s">
        <v>1371</v>
      </c>
      <c r="B214" s="10" t="s">
        <v>1351</v>
      </c>
      <c r="C214" s="3" t="str">
        <f>("755506")</f>
        <v>755506</v>
      </c>
      <c r="D214" s="11" t="str">
        <f>("662671192523")</f>
        <v>662671192523</v>
      </c>
      <c r="E214" s="3" t="s">
        <v>217</v>
      </c>
      <c r="F214" s="8" t="s">
        <v>218</v>
      </c>
      <c r="G214" s="14">
        <v>262.11309768673414</v>
      </c>
      <c r="H214" s="35">
        <v>45689</v>
      </c>
      <c r="I214" s="3">
        <v>0.96099999999999997</v>
      </c>
      <c r="J214" s="3" t="s">
        <v>3</v>
      </c>
      <c r="K214" s="11" t="str">
        <f>("10662671192520")</f>
        <v>10662671192520</v>
      </c>
      <c r="L214" s="3">
        <v>10</v>
      </c>
      <c r="M214" s="3">
        <v>720</v>
      </c>
    </row>
    <row r="215" spans="1:13" x14ac:dyDescent="0.25">
      <c r="A215" s="3" t="s">
        <v>1371</v>
      </c>
      <c r="B215" s="10" t="s">
        <v>1351</v>
      </c>
      <c r="C215" s="3" t="str">
        <f>("755508")</f>
        <v>755508</v>
      </c>
      <c r="D215" s="11" t="str">
        <f>("662671191083")</f>
        <v>662671191083</v>
      </c>
      <c r="E215" s="3" t="s">
        <v>219</v>
      </c>
      <c r="F215" s="8" t="s">
        <v>220</v>
      </c>
      <c r="G215" s="14">
        <v>769.76673528495098</v>
      </c>
      <c r="H215" s="35">
        <v>45689</v>
      </c>
      <c r="I215" s="3">
        <v>2.3610000000000002</v>
      </c>
      <c r="J215" s="3" t="s">
        <v>3</v>
      </c>
      <c r="K215" s="11" t="str">
        <f>("10662671191080")</f>
        <v>10662671191080</v>
      </c>
      <c r="L215" s="3">
        <v>5</v>
      </c>
      <c r="M215" s="3">
        <v>240</v>
      </c>
    </row>
    <row r="216" spans="1:13" x14ac:dyDescent="0.25">
      <c r="A216" s="3" t="s">
        <v>1371</v>
      </c>
      <c r="B216" s="10" t="s">
        <v>1351</v>
      </c>
      <c r="C216" s="3" t="str">
        <f>("226162")</f>
        <v>226162</v>
      </c>
      <c r="D216" s="11" t="str">
        <f>("622454875623")</f>
        <v>622454875623</v>
      </c>
      <c r="E216" s="3" t="s">
        <v>221</v>
      </c>
      <c r="F216" s="8" t="s">
        <v>222</v>
      </c>
      <c r="G216" s="14">
        <v>4224.9179097223687</v>
      </c>
      <c r="H216" s="35">
        <v>45689</v>
      </c>
      <c r="I216" s="3">
        <v>5.0110000000000001</v>
      </c>
      <c r="J216" s="3" t="s">
        <v>3</v>
      </c>
      <c r="K216" s="11" t="str">
        <f>("10622454875620")</f>
        <v>10622454875620</v>
      </c>
      <c r="L216" s="3">
        <v>8</v>
      </c>
      <c r="M216" s="3"/>
    </row>
    <row r="217" spans="1:13" x14ac:dyDescent="0.25">
      <c r="A217" s="3" t="s">
        <v>1371</v>
      </c>
      <c r="B217" s="10" t="s">
        <v>1351</v>
      </c>
      <c r="C217" s="3" t="str">
        <f>("226065")</f>
        <v>226065</v>
      </c>
      <c r="D217" s="11" t="str">
        <f>("622454875333")</f>
        <v>622454875333</v>
      </c>
      <c r="E217" s="3" t="s">
        <v>223</v>
      </c>
      <c r="F217" s="8" t="s">
        <v>224</v>
      </c>
      <c r="G217" s="14">
        <v>4448.9478264560712</v>
      </c>
      <c r="H217" s="35">
        <v>45689</v>
      </c>
      <c r="I217" s="3">
        <v>15.542999999999999</v>
      </c>
      <c r="J217" s="3" t="s">
        <v>149</v>
      </c>
      <c r="K217" s="11" t="str">
        <f>("10622454875330")</f>
        <v>10622454875330</v>
      </c>
      <c r="L217" s="3">
        <v>2</v>
      </c>
      <c r="M217" s="3">
        <v>84</v>
      </c>
    </row>
    <row r="218" spans="1:13" x14ac:dyDescent="0.25">
      <c r="A218" s="3" t="s">
        <v>1371</v>
      </c>
      <c r="B218" s="10" t="s">
        <v>1351</v>
      </c>
      <c r="C218" s="3" t="str">
        <f>("226067")</f>
        <v>226067</v>
      </c>
      <c r="D218" s="11" t="str">
        <f>("622454875081")</f>
        <v>622454875081</v>
      </c>
      <c r="E218" s="3" t="s">
        <v>225</v>
      </c>
      <c r="F218" s="8" t="s">
        <v>226</v>
      </c>
      <c r="G218" s="14">
        <v>6501.2488361834849</v>
      </c>
      <c r="H218" s="35">
        <v>45689</v>
      </c>
      <c r="I218" s="3">
        <v>2.0550000000000002</v>
      </c>
      <c r="J218" s="3" t="s">
        <v>149</v>
      </c>
      <c r="K218" s="11" t="str">
        <f>("10622454875088")</f>
        <v>10622454875088</v>
      </c>
      <c r="L218" s="3">
        <v>2</v>
      </c>
      <c r="M218" s="3"/>
    </row>
    <row r="219" spans="1:13" x14ac:dyDescent="0.25">
      <c r="A219" s="3" t="s">
        <v>1371</v>
      </c>
      <c r="B219" s="10" t="s">
        <v>1351</v>
      </c>
      <c r="C219" s="3" t="str">
        <f>("226070")</f>
        <v>226070</v>
      </c>
      <c r="D219" s="11" t="str">
        <f>("622454875128")</f>
        <v>622454875128</v>
      </c>
      <c r="E219" s="3" t="s">
        <v>227</v>
      </c>
      <c r="F219" s="8" t="s">
        <v>222</v>
      </c>
      <c r="G219" s="14">
        <v>1981.8346699032018</v>
      </c>
      <c r="H219" s="35">
        <v>45689</v>
      </c>
      <c r="I219" s="3">
        <v>7.0110000000000001</v>
      </c>
      <c r="J219" s="3" t="s">
        <v>3</v>
      </c>
      <c r="K219" s="11" t="str">
        <f>("10622454875125")</f>
        <v>10622454875125</v>
      </c>
      <c r="L219" s="3">
        <v>4</v>
      </c>
      <c r="M219" s="3"/>
    </row>
    <row r="220" spans="1:13" x14ac:dyDescent="0.25">
      <c r="A220" s="3" t="s">
        <v>1371</v>
      </c>
      <c r="B220" s="10" t="s">
        <v>1351</v>
      </c>
      <c r="C220" s="3" t="str">
        <f>("226074")</f>
        <v>226074</v>
      </c>
      <c r="D220" s="11" t="str">
        <f>("622454875135")</f>
        <v>622454875135</v>
      </c>
      <c r="E220" s="3" t="s">
        <v>228</v>
      </c>
      <c r="F220" s="8" t="s">
        <v>229</v>
      </c>
      <c r="G220" s="14">
        <v>4449.0210915213911</v>
      </c>
      <c r="H220" s="35">
        <v>45689</v>
      </c>
      <c r="I220" s="3">
        <v>10.02</v>
      </c>
      <c r="J220" s="3" t="s">
        <v>149</v>
      </c>
      <c r="K220" s="11" t="str">
        <f>("10622454875132")</f>
        <v>10622454875132</v>
      </c>
      <c r="L220" s="3">
        <v>2</v>
      </c>
      <c r="M220" s="3"/>
    </row>
    <row r="221" spans="1:13" x14ac:dyDescent="0.25">
      <c r="A221" s="3" t="s">
        <v>1371</v>
      </c>
      <c r="B221" s="10" t="s">
        <v>1351</v>
      </c>
      <c r="C221" s="3" t="str">
        <f>("226076")</f>
        <v>226076</v>
      </c>
      <c r="D221" s="11" t="str">
        <f>("622454875104")</f>
        <v>622454875104</v>
      </c>
      <c r="E221" s="3" t="s">
        <v>230</v>
      </c>
      <c r="F221" s="8" t="s">
        <v>231</v>
      </c>
      <c r="G221" s="14">
        <v>6341.9998902052075</v>
      </c>
      <c r="H221" s="35">
        <v>45689</v>
      </c>
      <c r="I221" s="3">
        <v>16.027999999999999</v>
      </c>
      <c r="J221" s="3" t="s">
        <v>149</v>
      </c>
      <c r="K221" s="11" t="str">
        <f>("10622454875101")</f>
        <v>10622454875101</v>
      </c>
      <c r="L221" s="3">
        <v>2</v>
      </c>
      <c r="M221" s="3"/>
    </row>
    <row r="222" spans="1:13" x14ac:dyDescent="0.25">
      <c r="A222" s="3" t="s">
        <v>1371</v>
      </c>
      <c r="B222" s="10" t="s">
        <v>1351</v>
      </c>
      <c r="C222" s="3" t="str">
        <f>("755501")</f>
        <v>755501</v>
      </c>
      <c r="D222" s="11" t="str">
        <f>("662671191434")</f>
        <v>662671191434</v>
      </c>
      <c r="E222" s="3" t="s">
        <v>232</v>
      </c>
      <c r="F222" s="8" t="s">
        <v>233</v>
      </c>
      <c r="G222" s="14">
        <v>32.368505858116926</v>
      </c>
      <c r="H222" s="35">
        <v>45689</v>
      </c>
      <c r="I222" s="3">
        <v>8.4000000000000005E-2</v>
      </c>
      <c r="J222" s="3" t="s">
        <v>3</v>
      </c>
      <c r="K222" s="11" t="str">
        <f>("10662671191431")</f>
        <v>10662671191431</v>
      </c>
      <c r="L222" s="3">
        <v>100</v>
      </c>
      <c r="M222" s="3">
        <v>7200</v>
      </c>
    </row>
    <row r="223" spans="1:13" x14ac:dyDescent="0.25">
      <c r="A223" s="3" t="s">
        <v>1371</v>
      </c>
      <c r="B223" s="10" t="s">
        <v>1351</v>
      </c>
      <c r="C223" s="3" t="str">
        <f>("755503")</f>
        <v>755503</v>
      </c>
      <c r="D223" s="11" t="str">
        <f>("662671191441")</f>
        <v>662671191441</v>
      </c>
      <c r="E223" s="3" t="s">
        <v>234</v>
      </c>
      <c r="F223" s="8" t="s">
        <v>235</v>
      </c>
      <c r="G223" s="14">
        <v>43.285000590709558</v>
      </c>
      <c r="H223" s="35">
        <v>45689</v>
      </c>
      <c r="I223" s="3">
        <v>0.115</v>
      </c>
      <c r="J223" s="3" t="s">
        <v>3</v>
      </c>
      <c r="K223" s="11" t="str">
        <f>("10662671191448")</f>
        <v>10662671191448</v>
      </c>
      <c r="L223" s="3">
        <v>40</v>
      </c>
      <c r="M223" s="3">
        <v>5760</v>
      </c>
    </row>
    <row r="224" spans="1:13" x14ac:dyDescent="0.25">
      <c r="A224" s="3" t="s">
        <v>1371</v>
      </c>
      <c r="B224" s="10" t="s">
        <v>1351</v>
      </c>
      <c r="C224" s="3" t="str">
        <f>("755505")</f>
        <v>755505</v>
      </c>
      <c r="D224" s="11" t="str">
        <f>("662671191915")</f>
        <v>662671191915</v>
      </c>
      <c r="E224" s="3" t="s">
        <v>236</v>
      </c>
      <c r="F224" s="8" t="s">
        <v>237</v>
      </c>
      <c r="G224" s="14">
        <v>116.21304660965386</v>
      </c>
      <c r="H224" s="35">
        <v>45689</v>
      </c>
      <c r="I224" s="3">
        <v>0.39700000000000002</v>
      </c>
      <c r="J224" s="3" t="s">
        <v>3</v>
      </c>
      <c r="K224" s="11" t="str">
        <f>("10662671191912")</f>
        <v>10662671191912</v>
      </c>
      <c r="L224" s="3">
        <v>35</v>
      </c>
      <c r="M224" s="3">
        <v>1680</v>
      </c>
    </row>
    <row r="225" spans="1:13" x14ac:dyDescent="0.25">
      <c r="A225" s="3" t="s">
        <v>1371</v>
      </c>
      <c r="B225" s="10" t="s">
        <v>1351</v>
      </c>
      <c r="C225" s="3" t="str">
        <f>("755507")</f>
        <v>755507</v>
      </c>
      <c r="D225" s="11" t="str">
        <f>("662671192271")</f>
        <v>662671192271</v>
      </c>
      <c r="E225" s="3" t="s">
        <v>238</v>
      </c>
      <c r="F225" s="8" t="s">
        <v>239</v>
      </c>
      <c r="G225" s="14">
        <v>190.97271926158351</v>
      </c>
      <c r="H225" s="35">
        <v>45689</v>
      </c>
      <c r="I225" s="3">
        <v>0.61899999999999999</v>
      </c>
      <c r="J225" s="3" t="s">
        <v>3</v>
      </c>
      <c r="K225" s="11" t="str">
        <f>("10662671192278")</f>
        <v>10662671192278</v>
      </c>
      <c r="L225" s="3">
        <v>10</v>
      </c>
      <c r="M225" s="3">
        <v>720</v>
      </c>
    </row>
    <row r="226" spans="1:13" x14ac:dyDescent="0.25">
      <c r="A226" s="3" t="s">
        <v>1371</v>
      </c>
      <c r="B226" s="10" t="s">
        <v>1351</v>
      </c>
      <c r="C226" s="3" t="str">
        <f>("755509")</f>
        <v>755509</v>
      </c>
      <c r="D226" s="11" t="str">
        <f>("662671190840")</f>
        <v>662671190840</v>
      </c>
      <c r="E226" s="3" t="s">
        <v>240</v>
      </c>
      <c r="F226" s="8" t="s">
        <v>241</v>
      </c>
      <c r="G226" s="14">
        <v>543.80262082681554</v>
      </c>
      <c r="H226" s="35">
        <v>45689</v>
      </c>
      <c r="I226" s="3">
        <v>1.5189999999999999</v>
      </c>
      <c r="J226" s="3" t="s">
        <v>3</v>
      </c>
      <c r="K226" s="11" t="str">
        <f>("10662671190847")</f>
        <v>10662671190847</v>
      </c>
      <c r="L226" s="3">
        <v>10</v>
      </c>
      <c r="M226" s="3">
        <v>320</v>
      </c>
    </row>
    <row r="227" spans="1:13" x14ac:dyDescent="0.25">
      <c r="A227" s="3" t="s">
        <v>1371</v>
      </c>
      <c r="B227" s="10" t="s">
        <v>1351</v>
      </c>
      <c r="C227" s="3" t="str">
        <f>("294714")</f>
        <v>294714</v>
      </c>
      <c r="D227" s="11" t="str">
        <f>("622454606388")</f>
        <v>622454606388</v>
      </c>
      <c r="E227" s="3"/>
      <c r="F227" s="8" t="s">
        <v>242</v>
      </c>
      <c r="G227" s="14">
        <v>1010.2508468572188</v>
      </c>
      <c r="H227" s="35">
        <v>45689</v>
      </c>
      <c r="I227" s="3">
        <v>5.6459999999999999</v>
      </c>
      <c r="J227" s="3" t="s">
        <v>10</v>
      </c>
      <c r="K227" s="11" t="str">
        <f>("10622454606385")</f>
        <v>10622454606385</v>
      </c>
      <c r="L227" s="3">
        <v>4</v>
      </c>
      <c r="M227" s="3">
        <v>48</v>
      </c>
    </row>
    <row r="228" spans="1:13" x14ac:dyDescent="0.25">
      <c r="A228" s="3" t="s">
        <v>1371</v>
      </c>
      <c r="B228" s="10" t="s">
        <v>1351</v>
      </c>
      <c r="C228" s="3" t="str">
        <f>("294728")</f>
        <v>294728</v>
      </c>
      <c r="D228" s="11" t="str">
        <f>("622454606524")</f>
        <v>622454606524</v>
      </c>
      <c r="E228" s="3"/>
      <c r="F228" s="8" t="s">
        <v>243</v>
      </c>
      <c r="G228" s="14">
        <v>3512.6924032540969</v>
      </c>
      <c r="H228" s="35">
        <v>45689</v>
      </c>
      <c r="I228" s="3">
        <v>9.9380000000000006</v>
      </c>
      <c r="J228" s="3" t="s">
        <v>10</v>
      </c>
      <c r="K228" s="11" t="str">
        <f>("10622454606521")</f>
        <v>10622454606521</v>
      </c>
      <c r="L228" s="3">
        <v>2</v>
      </c>
      <c r="M228" s="3">
        <v>40</v>
      </c>
    </row>
    <row r="229" spans="1:13" x14ac:dyDescent="0.25">
      <c r="A229" s="3" t="s">
        <v>1371</v>
      </c>
      <c r="B229" s="10" t="s">
        <v>1351</v>
      </c>
      <c r="C229" s="3" t="str">
        <f>("294741")</f>
        <v>294741</v>
      </c>
      <c r="D229" s="11" t="str">
        <f>("622454606654")</f>
        <v>622454606654</v>
      </c>
      <c r="E229" s="3"/>
      <c r="F229" s="8" t="s">
        <v>244</v>
      </c>
      <c r="G229" s="14">
        <v>4565.8949626448011</v>
      </c>
      <c r="H229" s="35">
        <v>45689</v>
      </c>
      <c r="I229" s="3">
        <v>16.268000000000001</v>
      </c>
      <c r="J229" s="3" t="s">
        <v>10</v>
      </c>
      <c r="K229" s="11" t="str">
        <f>("10622454606651")</f>
        <v>10622454606651</v>
      </c>
      <c r="L229" s="3">
        <v>1</v>
      </c>
      <c r="M229" s="3">
        <v>18</v>
      </c>
    </row>
    <row r="230" spans="1:13" x14ac:dyDescent="0.25">
      <c r="A230" s="3" t="s">
        <v>1371</v>
      </c>
      <c r="B230" s="10" t="s">
        <v>1351</v>
      </c>
      <c r="C230" s="3" t="str">
        <f>("294748")</f>
        <v>294748</v>
      </c>
      <c r="D230" s="11" t="str">
        <f>("622454606722")</f>
        <v>622454606722</v>
      </c>
      <c r="E230" s="3"/>
      <c r="F230" s="8" t="s">
        <v>245</v>
      </c>
      <c r="G230" s="14">
        <v>4047.5962047020562</v>
      </c>
      <c r="H230" s="35">
        <v>45689</v>
      </c>
      <c r="I230" s="3">
        <v>22.37</v>
      </c>
      <c r="J230" s="3" t="s">
        <v>10</v>
      </c>
      <c r="K230" s="11" t="str">
        <f>("00622454606722")</f>
        <v>00622454606722</v>
      </c>
      <c r="L230" s="3">
        <v>1</v>
      </c>
      <c r="M230" s="3"/>
    </row>
    <row r="231" spans="1:13" x14ac:dyDescent="0.25">
      <c r="A231" s="3" t="s">
        <v>1371</v>
      </c>
      <c r="B231" s="10" t="s">
        <v>1351</v>
      </c>
      <c r="C231" s="3" t="str">
        <f>("294755")</f>
        <v>294755</v>
      </c>
      <c r="D231" s="11" t="str">
        <f>("622454606791")</f>
        <v>622454606791</v>
      </c>
      <c r="E231" s="3"/>
      <c r="F231" s="8" t="s">
        <v>246</v>
      </c>
      <c r="G231" s="14">
        <v>5263.8233912172855</v>
      </c>
      <c r="H231" s="35">
        <v>45689</v>
      </c>
      <c r="I231" s="3">
        <v>34.249000000000002</v>
      </c>
      <c r="J231" s="3" t="s">
        <v>10</v>
      </c>
      <c r="K231" s="11" t="str">
        <f>("10622454606798")</f>
        <v>10622454606798</v>
      </c>
      <c r="L231" s="3">
        <v>6</v>
      </c>
      <c r="M231" s="3"/>
    </row>
    <row r="232" spans="1:13" x14ac:dyDescent="0.25">
      <c r="A232" s="3" t="s">
        <v>1371</v>
      </c>
      <c r="B232" s="10" t="s">
        <v>1351</v>
      </c>
      <c r="C232" s="3" t="str">
        <f>("294764")</f>
        <v>294764</v>
      </c>
      <c r="D232" s="11" t="str">
        <f>("622454606883")</f>
        <v>622454606883</v>
      </c>
      <c r="E232" s="3"/>
      <c r="F232" s="8" t="s">
        <v>247</v>
      </c>
      <c r="G232" s="14">
        <v>7769.3276556384581</v>
      </c>
      <c r="H232" s="35">
        <v>45689</v>
      </c>
      <c r="I232" s="3">
        <v>46.326000000000001</v>
      </c>
      <c r="J232" s="3" t="s">
        <v>10</v>
      </c>
      <c r="K232" s="11" t="str">
        <f>("00622454606883")</f>
        <v>00622454606883</v>
      </c>
      <c r="L232" s="3">
        <v>1</v>
      </c>
      <c r="M232" s="3"/>
    </row>
    <row r="233" spans="1:13" x14ac:dyDescent="0.25">
      <c r="A233" s="3" t="s">
        <v>1371</v>
      </c>
      <c r="B233" s="10" t="s">
        <v>1351</v>
      </c>
      <c r="C233" s="3" t="str">
        <f>("294770")</f>
        <v>294770</v>
      </c>
      <c r="D233" s="11" t="str">
        <f>("622454606944")</f>
        <v>622454606944</v>
      </c>
      <c r="E233" s="3"/>
      <c r="F233" s="8" t="s">
        <v>248</v>
      </c>
      <c r="G233" s="14">
        <v>11052.476857489364</v>
      </c>
      <c r="H233" s="35">
        <v>45689</v>
      </c>
      <c r="I233" s="3">
        <v>2E-3</v>
      </c>
      <c r="J233" s="3" t="s">
        <v>10</v>
      </c>
      <c r="K233" s="11" t="str">
        <f>("00622454606944")</f>
        <v>00622454606944</v>
      </c>
      <c r="L233" s="3">
        <v>1</v>
      </c>
      <c r="M233" s="3"/>
    </row>
    <row r="234" spans="1:13" x14ac:dyDescent="0.25">
      <c r="A234" s="3" t="s">
        <v>1371</v>
      </c>
      <c r="B234" s="10" t="s">
        <v>1351</v>
      </c>
      <c r="C234" s="3" t="str">
        <f>("294779")</f>
        <v>294779</v>
      </c>
      <c r="D234" s="11" t="str">
        <f>("622454607033")</f>
        <v>622454607033</v>
      </c>
      <c r="E234" s="3"/>
      <c r="F234" s="8" t="s">
        <v>249</v>
      </c>
      <c r="G234" s="14">
        <v>14451.160262039886</v>
      </c>
      <c r="H234" s="35">
        <v>45689</v>
      </c>
      <c r="I234" s="3">
        <v>40.755000000000003</v>
      </c>
      <c r="J234" s="3" t="s">
        <v>10</v>
      </c>
      <c r="K234" s="11" t="str">
        <f>("00622454607033")</f>
        <v>00622454607033</v>
      </c>
      <c r="L234" s="3">
        <v>1</v>
      </c>
      <c r="M234" s="3"/>
    </row>
    <row r="235" spans="1:13" x14ac:dyDescent="0.25">
      <c r="A235" s="3" t="s">
        <v>1371</v>
      </c>
      <c r="B235" s="10" t="s">
        <v>1351</v>
      </c>
      <c r="C235" s="3" t="str">
        <f>("755311")</f>
        <v>755311</v>
      </c>
      <c r="D235" s="11" t="str">
        <f>("662671192165")</f>
        <v>662671192165</v>
      </c>
      <c r="E235" s="3" t="s">
        <v>250</v>
      </c>
      <c r="F235" s="8" t="s">
        <v>251</v>
      </c>
      <c r="G235" s="14">
        <v>23.972329372512135</v>
      </c>
      <c r="H235" s="35">
        <v>45689</v>
      </c>
      <c r="I235" s="3">
        <v>6.2E-2</v>
      </c>
      <c r="J235" s="3" t="s">
        <v>3</v>
      </c>
      <c r="K235" s="11" t="str">
        <f>("10662671192162")</f>
        <v>10662671192162</v>
      </c>
      <c r="L235" s="3">
        <v>120</v>
      </c>
      <c r="M235" s="3">
        <v>17280</v>
      </c>
    </row>
    <row r="236" spans="1:13" x14ac:dyDescent="0.25">
      <c r="A236" s="3" t="s">
        <v>1371</v>
      </c>
      <c r="B236" s="10" t="s">
        <v>1351</v>
      </c>
      <c r="C236" s="3" t="str">
        <f>("755314")</f>
        <v>755314</v>
      </c>
      <c r="D236" s="11" t="str">
        <f>("662671192332")</f>
        <v>662671192332</v>
      </c>
      <c r="E236" s="3" t="s">
        <v>252</v>
      </c>
      <c r="F236" s="8" t="s">
        <v>253</v>
      </c>
      <c r="G236" s="14">
        <v>26.976197050608089</v>
      </c>
      <c r="H236" s="35">
        <v>45689</v>
      </c>
      <c r="I236" s="3">
        <v>8.7999999999999995E-2</v>
      </c>
      <c r="J236" s="3" t="s">
        <v>3</v>
      </c>
      <c r="K236" s="11" t="str">
        <f>("10662671192339")</f>
        <v>10662671192339</v>
      </c>
      <c r="L236" s="3">
        <v>150</v>
      </c>
      <c r="M236" s="3">
        <v>10800</v>
      </c>
    </row>
    <row r="237" spans="1:13" x14ac:dyDescent="0.25">
      <c r="A237" s="3" t="s">
        <v>1371</v>
      </c>
      <c r="B237" s="10" t="s">
        <v>1351</v>
      </c>
      <c r="C237" s="3" t="str">
        <f>("755317")</f>
        <v>755317</v>
      </c>
      <c r="D237" s="11" t="str">
        <f>("662671192424")</f>
        <v>662671192424</v>
      </c>
      <c r="E237" s="3" t="s">
        <v>254</v>
      </c>
      <c r="F237" s="8" t="s">
        <v>255</v>
      </c>
      <c r="G237" s="14">
        <v>48.017923810343682</v>
      </c>
      <c r="H237" s="35">
        <v>45689</v>
      </c>
      <c r="I237" s="3">
        <v>0.20899999999999999</v>
      </c>
      <c r="J237" s="3" t="s">
        <v>3</v>
      </c>
      <c r="K237" s="11" t="str">
        <f>("10662671192421")</f>
        <v>10662671192421</v>
      </c>
      <c r="L237" s="3">
        <v>30</v>
      </c>
      <c r="M237" s="3">
        <v>4320</v>
      </c>
    </row>
    <row r="238" spans="1:13" x14ac:dyDescent="0.25">
      <c r="A238" s="3" t="s">
        <v>1371</v>
      </c>
      <c r="B238" s="10" t="s">
        <v>1351</v>
      </c>
      <c r="C238" s="3" t="str">
        <f>("755320")</f>
        <v>755320</v>
      </c>
      <c r="D238" s="11" t="str">
        <f>("662671191670")</f>
        <v>662671191670</v>
      </c>
      <c r="E238" s="3" t="s">
        <v>256</v>
      </c>
      <c r="F238" s="8" t="s">
        <v>257</v>
      </c>
      <c r="G238" s="14">
        <v>71.198990477406156</v>
      </c>
      <c r="H238" s="35">
        <v>45689</v>
      </c>
      <c r="I238" s="3">
        <v>0.34799999999999998</v>
      </c>
      <c r="J238" s="3" t="s">
        <v>3</v>
      </c>
      <c r="K238" s="11" t="str">
        <f>("10662671191677")</f>
        <v>10662671191677</v>
      </c>
      <c r="L238" s="3">
        <v>30</v>
      </c>
      <c r="M238" s="3">
        <v>2160</v>
      </c>
    </row>
    <row r="239" spans="1:13" x14ac:dyDescent="0.25">
      <c r="A239" s="3" t="s">
        <v>1371</v>
      </c>
      <c r="B239" s="10" t="s">
        <v>1351</v>
      </c>
      <c r="C239" s="3" t="str">
        <f>("755323")</f>
        <v>755323</v>
      </c>
      <c r="D239" s="11" t="str">
        <f>("662671190956")</f>
        <v>662671190956</v>
      </c>
      <c r="E239" s="3" t="s">
        <v>258</v>
      </c>
      <c r="F239" s="8" t="s">
        <v>259</v>
      </c>
      <c r="G239" s="14">
        <v>225.96411445813547</v>
      </c>
      <c r="H239" s="35">
        <v>45689</v>
      </c>
      <c r="I239" s="3">
        <v>0.84399999999999997</v>
      </c>
      <c r="J239" s="3" t="s">
        <v>3</v>
      </c>
      <c r="K239" s="11" t="str">
        <f>("10662671190953")</f>
        <v>10662671190953</v>
      </c>
      <c r="L239" s="3">
        <v>8</v>
      </c>
      <c r="M239" s="3">
        <v>1152</v>
      </c>
    </row>
    <row r="240" spans="1:13" x14ac:dyDescent="0.25">
      <c r="A240" s="3" t="s">
        <v>1371</v>
      </c>
      <c r="B240" s="10" t="s">
        <v>1351</v>
      </c>
      <c r="C240" s="3" t="str">
        <f>("295148")</f>
        <v>295148</v>
      </c>
      <c r="D240" s="11" t="str">
        <f>("622454610910")</f>
        <v>622454610910</v>
      </c>
      <c r="E240" s="3"/>
      <c r="F240" s="8" t="s">
        <v>260</v>
      </c>
      <c r="G240" s="14">
        <v>515.83875149752896</v>
      </c>
      <c r="H240" s="35">
        <v>45689</v>
      </c>
      <c r="I240" s="3">
        <v>1.2989999999999999</v>
      </c>
      <c r="J240" s="3" t="s">
        <v>10</v>
      </c>
      <c r="K240" s="11" t="str">
        <f>("10622454610917")</f>
        <v>10622454610917</v>
      </c>
      <c r="L240" s="3">
        <v>48</v>
      </c>
      <c r="M240" s="3">
        <v>576</v>
      </c>
    </row>
    <row r="241" spans="1:13" x14ac:dyDescent="0.25">
      <c r="A241" s="3" t="s">
        <v>1371</v>
      </c>
      <c r="B241" s="10" t="s">
        <v>1351</v>
      </c>
      <c r="C241" s="3" t="str">
        <f>("295149")</f>
        <v>295149</v>
      </c>
      <c r="D241" s="11" t="str">
        <f>("622454610927")</f>
        <v>622454610927</v>
      </c>
      <c r="E241" s="3"/>
      <c r="F241" s="8" t="s">
        <v>261</v>
      </c>
      <c r="G241" s="14">
        <v>730.01921265033707</v>
      </c>
      <c r="H241" s="35">
        <v>45689</v>
      </c>
      <c r="I241" s="3">
        <v>0</v>
      </c>
      <c r="J241" s="3" t="s">
        <v>10</v>
      </c>
      <c r="K241" s="11" t="str">
        <f>("30622454610928")</f>
        <v>30622454610928</v>
      </c>
      <c r="L241" s="3">
        <v>12</v>
      </c>
      <c r="M241" s="3">
        <v>360</v>
      </c>
    </row>
    <row r="242" spans="1:13" x14ac:dyDescent="0.25">
      <c r="A242" s="3" t="s">
        <v>1371</v>
      </c>
      <c r="B242" s="10" t="s">
        <v>1351</v>
      </c>
      <c r="C242" s="3" t="str">
        <f>("295150")</f>
        <v>295150</v>
      </c>
      <c r="D242" s="11" t="str">
        <f>("622454610934")</f>
        <v>622454610934</v>
      </c>
      <c r="E242" s="3"/>
      <c r="F242" s="8" t="s">
        <v>262</v>
      </c>
      <c r="G242" s="14">
        <v>1091.0989586792718</v>
      </c>
      <c r="H242" s="35">
        <v>45689</v>
      </c>
      <c r="I242" s="3">
        <v>0</v>
      </c>
      <c r="J242" s="3" t="s">
        <v>10</v>
      </c>
      <c r="K242" s="11" t="str">
        <f>("00622454610934")</f>
        <v>00622454610934</v>
      </c>
      <c r="L242" s="3">
        <v>1</v>
      </c>
      <c r="M242" s="3"/>
    </row>
    <row r="243" spans="1:13" x14ac:dyDescent="0.25">
      <c r="A243" s="3" t="s">
        <v>1371</v>
      </c>
      <c r="B243" s="10" t="s">
        <v>1351</v>
      </c>
      <c r="C243" s="3" t="str">
        <f>("295151")</f>
        <v>295151</v>
      </c>
      <c r="D243" s="11" t="str">
        <f>("622454610941")</f>
        <v>622454610941</v>
      </c>
      <c r="E243" s="3"/>
      <c r="F243" s="8" t="s">
        <v>263</v>
      </c>
      <c r="G243" s="14">
        <v>1395.62315653267</v>
      </c>
      <c r="H243" s="35">
        <v>45689</v>
      </c>
      <c r="I243" s="3">
        <v>13.199</v>
      </c>
      <c r="J243" s="3" t="s">
        <v>10</v>
      </c>
      <c r="K243" s="11" t="str">
        <f>("00622454610941")</f>
        <v>00622454610941</v>
      </c>
      <c r="L243" s="3">
        <v>1</v>
      </c>
      <c r="M243" s="3"/>
    </row>
    <row r="244" spans="1:13" x14ac:dyDescent="0.25">
      <c r="A244" s="3" t="s">
        <v>1371</v>
      </c>
      <c r="B244" s="10" t="s">
        <v>1351</v>
      </c>
      <c r="C244" s="3" t="str">
        <f>("295153")</f>
        <v>295153</v>
      </c>
      <c r="D244" s="11" t="str">
        <f>("622454610965")</f>
        <v>622454610965</v>
      </c>
      <c r="E244" s="3"/>
      <c r="F244" s="8" t="s">
        <v>264</v>
      </c>
      <c r="G244" s="14">
        <v>2093.8836859752569</v>
      </c>
      <c r="H244" s="35">
        <v>45689</v>
      </c>
      <c r="I244" s="3">
        <v>15.119</v>
      </c>
      <c r="J244" s="3" t="s">
        <v>10</v>
      </c>
      <c r="K244" s="11" t="str">
        <f>("00622454610965")</f>
        <v>00622454610965</v>
      </c>
      <c r="L244" s="3">
        <v>1</v>
      </c>
      <c r="M244" s="3"/>
    </row>
    <row r="245" spans="1:13" x14ac:dyDescent="0.25">
      <c r="A245" s="3" t="s">
        <v>1371</v>
      </c>
      <c r="B245" s="10" t="s">
        <v>1351</v>
      </c>
      <c r="C245" s="3" t="str">
        <f>("295155")</f>
        <v>295155</v>
      </c>
      <c r="D245" s="11" t="str">
        <f>("622454610989")</f>
        <v>622454610989</v>
      </c>
      <c r="E245" s="3"/>
      <c r="F245" s="8" t="s">
        <v>265</v>
      </c>
      <c r="G245" s="14">
        <v>3142.1539324433029</v>
      </c>
      <c r="H245" s="35">
        <v>45689</v>
      </c>
      <c r="I245" s="3">
        <v>19.920999999999999</v>
      </c>
      <c r="J245" s="3" t="s">
        <v>10</v>
      </c>
      <c r="K245" s="11" t="str">
        <f>("00622454610989")</f>
        <v>00622454610989</v>
      </c>
      <c r="L245" s="3">
        <v>1</v>
      </c>
      <c r="M245" s="3"/>
    </row>
    <row r="246" spans="1:13" x14ac:dyDescent="0.25">
      <c r="A246" s="3" t="s">
        <v>1371</v>
      </c>
      <c r="B246" s="10" t="s">
        <v>1351</v>
      </c>
      <c r="C246" s="3" t="str">
        <f>("295157")</f>
        <v>295157</v>
      </c>
      <c r="D246" s="11" t="str">
        <f>("622454611009")</f>
        <v>622454611009</v>
      </c>
      <c r="E246" s="3"/>
      <c r="F246" s="8" t="s">
        <v>266</v>
      </c>
      <c r="G246" s="14">
        <v>4710.3588411401633</v>
      </c>
      <c r="H246" s="35">
        <v>45689</v>
      </c>
      <c r="I246" s="3">
        <v>36.661000000000001</v>
      </c>
      <c r="J246" s="3" t="s">
        <v>10</v>
      </c>
      <c r="K246" s="11" t="str">
        <f>("00622454611009")</f>
        <v>00622454611009</v>
      </c>
      <c r="L246" s="3">
        <v>1</v>
      </c>
      <c r="M246" s="3"/>
    </row>
    <row r="247" spans="1:13" x14ac:dyDescent="0.25">
      <c r="A247" s="3" t="s">
        <v>1371</v>
      </c>
      <c r="B247" s="10" t="s">
        <v>1351</v>
      </c>
      <c r="C247" s="3" t="str">
        <f>("295159")</f>
        <v>295159</v>
      </c>
      <c r="D247" s="11" t="str">
        <f>("622454611023")</f>
        <v>622454611023</v>
      </c>
      <c r="E247" s="3"/>
      <c r="F247" s="8" t="s">
        <v>267</v>
      </c>
      <c r="G247" s="14">
        <v>7062.2111029930893</v>
      </c>
      <c r="H247" s="35">
        <v>45689</v>
      </c>
      <c r="I247" s="3">
        <v>40.08</v>
      </c>
      <c r="J247" s="3" t="s">
        <v>10</v>
      </c>
      <c r="K247" s="11" t="str">
        <f>("00622454611023")</f>
        <v>00622454611023</v>
      </c>
      <c r="L247" s="3">
        <v>1</v>
      </c>
      <c r="M247" s="3"/>
    </row>
    <row r="248" spans="1:13" x14ac:dyDescent="0.25">
      <c r="A248" s="3" t="s">
        <v>1371</v>
      </c>
      <c r="B248" s="10" t="s">
        <v>1351</v>
      </c>
      <c r="C248" s="3" t="str">
        <f>("755325")</f>
        <v>755325</v>
      </c>
      <c r="D248" s="11" t="str">
        <f>("662671193186")</f>
        <v>662671193186</v>
      </c>
      <c r="E248" s="3">
        <v>193062</v>
      </c>
      <c r="F248" s="8" t="s">
        <v>268</v>
      </c>
      <c r="G248" s="14">
        <v>87.141468690910543</v>
      </c>
      <c r="H248" s="35">
        <v>45689</v>
      </c>
      <c r="I248" s="3">
        <v>5.5E-2</v>
      </c>
      <c r="J248" s="3" t="s">
        <v>3</v>
      </c>
      <c r="K248" s="11" t="str">
        <f>("10662671193183")</f>
        <v>10662671193183</v>
      </c>
      <c r="L248" s="3">
        <v>40</v>
      </c>
      <c r="M248" s="3">
        <v>5760</v>
      </c>
    </row>
    <row r="249" spans="1:13" x14ac:dyDescent="0.25">
      <c r="A249" s="3" t="s">
        <v>1371</v>
      </c>
      <c r="B249" s="10" t="s">
        <v>1351</v>
      </c>
      <c r="C249" s="3" t="str">
        <f>("755326")</f>
        <v>755326</v>
      </c>
      <c r="D249" s="11" t="str">
        <f>("662671193049")</f>
        <v>662671193049</v>
      </c>
      <c r="E249" s="3">
        <v>193063</v>
      </c>
      <c r="F249" s="8" t="s">
        <v>269</v>
      </c>
      <c r="G249" s="14">
        <v>101.4281564281962</v>
      </c>
      <c r="H249" s="35">
        <v>45689</v>
      </c>
      <c r="I249" s="3">
        <v>0.154</v>
      </c>
      <c r="J249" s="3" t="s">
        <v>3</v>
      </c>
      <c r="K249" s="11" t="str">
        <f>("10662671193046")</f>
        <v>10662671193046</v>
      </c>
      <c r="L249" s="3">
        <v>50</v>
      </c>
      <c r="M249" s="3">
        <v>7200</v>
      </c>
    </row>
    <row r="250" spans="1:13" x14ac:dyDescent="0.25">
      <c r="A250" s="3" t="s">
        <v>1371</v>
      </c>
      <c r="B250" s="10" t="s">
        <v>1351</v>
      </c>
      <c r="C250" s="3" t="str">
        <f>("755327")</f>
        <v>755327</v>
      </c>
      <c r="D250" s="11" t="str">
        <f>("662671193056")</f>
        <v>662671193056</v>
      </c>
      <c r="E250" s="3">
        <v>193064</v>
      </c>
      <c r="F250" s="8" t="s">
        <v>270</v>
      </c>
      <c r="G250" s="14">
        <v>118.42565158230013</v>
      </c>
      <c r="H250" s="35">
        <v>45689</v>
      </c>
      <c r="I250" s="3">
        <v>0.19800000000000001</v>
      </c>
      <c r="J250" s="3" t="s">
        <v>3</v>
      </c>
      <c r="K250" s="11" t="str">
        <f>("30662671193057")</f>
        <v>30662671193057</v>
      </c>
      <c r="L250" s="3">
        <v>60</v>
      </c>
      <c r="M250" s="3">
        <v>4320</v>
      </c>
    </row>
    <row r="251" spans="1:13" x14ac:dyDescent="0.25">
      <c r="A251" s="3" t="s">
        <v>1371</v>
      </c>
      <c r="B251" s="10" t="s">
        <v>1351</v>
      </c>
      <c r="C251" s="3" t="str">
        <f>("755328")</f>
        <v>755328</v>
      </c>
      <c r="D251" s="11" t="str">
        <f>("662671190383")</f>
        <v>662671190383</v>
      </c>
      <c r="E251" s="3">
        <v>193066</v>
      </c>
      <c r="F251" s="8" t="s">
        <v>271</v>
      </c>
      <c r="G251" s="14">
        <v>254.30304172368466</v>
      </c>
      <c r="H251" s="35">
        <v>45689</v>
      </c>
      <c r="I251" s="3">
        <v>0.90600000000000003</v>
      </c>
      <c r="J251" s="3" t="s">
        <v>3</v>
      </c>
      <c r="K251" s="11" t="str">
        <f>("10662671190380")</f>
        <v>10662671190380</v>
      </c>
      <c r="L251" s="3">
        <v>20</v>
      </c>
      <c r="M251" s="3">
        <v>1440</v>
      </c>
    </row>
    <row r="252" spans="1:13" x14ac:dyDescent="0.25">
      <c r="A252" s="3" t="s">
        <v>1371</v>
      </c>
      <c r="B252" s="10" t="s">
        <v>1351</v>
      </c>
      <c r="C252" s="3" t="str">
        <f>("755340")</f>
        <v>755340</v>
      </c>
      <c r="D252" s="11" t="str">
        <f>("662671192240")</f>
        <v>662671192240</v>
      </c>
      <c r="E252" s="3">
        <v>193081</v>
      </c>
      <c r="F252" s="8" t="s">
        <v>272</v>
      </c>
      <c r="G252" s="14">
        <v>54.011006153471705</v>
      </c>
      <c r="H252" s="35">
        <v>45689</v>
      </c>
      <c r="I252" s="3">
        <v>8.4000000000000005E-2</v>
      </c>
      <c r="J252" s="3" t="s">
        <v>3</v>
      </c>
      <c r="K252" s="11" t="str">
        <f>("10662671192247")</f>
        <v>10662671192247</v>
      </c>
      <c r="L252" s="3">
        <v>90</v>
      </c>
      <c r="M252" s="3">
        <v>12960</v>
      </c>
    </row>
    <row r="253" spans="1:13" x14ac:dyDescent="0.25">
      <c r="A253" s="3" t="s">
        <v>1371</v>
      </c>
      <c r="B253" s="10" t="s">
        <v>1351</v>
      </c>
      <c r="C253" s="3" t="str">
        <f>("755341")</f>
        <v>755341</v>
      </c>
      <c r="D253" s="11" t="str">
        <f>("662671192172")</f>
        <v>662671192172</v>
      </c>
      <c r="E253" s="3">
        <v>193082</v>
      </c>
      <c r="F253" s="8" t="s">
        <v>273</v>
      </c>
      <c r="G253" s="14">
        <v>90.116030342878744</v>
      </c>
      <c r="H253" s="35">
        <v>45689</v>
      </c>
      <c r="I253" s="3">
        <v>0.11</v>
      </c>
      <c r="J253" s="3" t="s">
        <v>3</v>
      </c>
      <c r="K253" s="11" t="str">
        <f>("10662671192179")</f>
        <v>10662671192179</v>
      </c>
      <c r="L253" s="3">
        <v>110</v>
      </c>
      <c r="M253" s="3">
        <v>7920</v>
      </c>
    </row>
    <row r="254" spans="1:13" x14ac:dyDescent="0.25">
      <c r="A254" s="3" t="s">
        <v>1371</v>
      </c>
      <c r="B254" s="10" t="s">
        <v>1351</v>
      </c>
      <c r="C254" s="3" t="str">
        <f>("755342")</f>
        <v>755342</v>
      </c>
      <c r="D254" s="11" t="str">
        <f>("662671192189")</f>
        <v>662671192189</v>
      </c>
      <c r="E254" s="3" t="s">
        <v>274</v>
      </c>
      <c r="F254" s="8" t="s">
        <v>275</v>
      </c>
      <c r="G254" s="14">
        <v>150.676933335906</v>
      </c>
      <c r="H254" s="35">
        <v>45689</v>
      </c>
      <c r="I254" s="3">
        <v>0.375</v>
      </c>
      <c r="J254" s="3" t="s">
        <v>3</v>
      </c>
      <c r="K254" s="11" t="str">
        <f>("10662671192186")</f>
        <v>10662671192186</v>
      </c>
      <c r="L254" s="3">
        <v>30</v>
      </c>
      <c r="M254" s="3">
        <v>2160</v>
      </c>
    </row>
    <row r="255" spans="1:13" x14ac:dyDescent="0.25">
      <c r="A255" s="3" t="s">
        <v>1371</v>
      </c>
      <c r="B255" s="10" t="s">
        <v>1351</v>
      </c>
      <c r="C255" s="3" t="str">
        <f>("755343")</f>
        <v>755343</v>
      </c>
      <c r="D255" s="11" t="str">
        <f>("662671192196")</f>
        <v>662671192196</v>
      </c>
      <c r="E255" s="3" t="s">
        <v>276</v>
      </c>
      <c r="F255" s="8" t="s">
        <v>277</v>
      </c>
      <c r="G255" s="14">
        <v>215.10623177779834</v>
      </c>
      <c r="H255" s="35">
        <v>45689</v>
      </c>
      <c r="I255" s="3">
        <v>0.65500000000000003</v>
      </c>
      <c r="J255" s="3" t="s">
        <v>3</v>
      </c>
      <c r="K255" s="11" t="str">
        <f>("10662671192193")</f>
        <v>10662671192193</v>
      </c>
      <c r="L255" s="3">
        <v>25</v>
      </c>
      <c r="M255" s="3">
        <v>1200</v>
      </c>
    </row>
    <row r="256" spans="1:13" x14ac:dyDescent="0.25">
      <c r="A256" s="3" t="s">
        <v>1371</v>
      </c>
      <c r="B256" s="10" t="s">
        <v>1351</v>
      </c>
      <c r="C256" s="3" t="str">
        <f>("755344")</f>
        <v>755344</v>
      </c>
      <c r="D256" s="11" t="str">
        <f>("662671190390")</f>
        <v>662671190390</v>
      </c>
      <c r="E256" s="3">
        <v>193086</v>
      </c>
      <c r="F256" s="8" t="s">
        <v>278</v>
      </c>
      <c r="G256" s="14">
        <v>543.18719427813244</v>
      </c>
      <c r="H256" s="35">
        <v>45689</v>
      </c>
      <c r="I256" s="3">
        <v>1.7549999999999999</v>
      </c>
      <c r="J256" s="3" t="s">
        <v>3</v>
      </c>
      <c r="K256" s="11" t="str">
        <f>("10662671190397")</f>
        <v>10662671190397</v>
      </c>
      <c r="L256" s="3">
        <v>12</v>
      </c>
      <c r="M256" s="3">
        <v>384</v>
      </c>
    </row>
    <row r="257" spans="1:13" x14ac:dyDescent="0.25">
      <c r="A257" s="3" t="s">
        <v>1371</v>
      </c>
      <c r="B257" s="10" t="s">
        <v>1351</v>
      </c>
      <c r="C257" s="3" t="str">
        <f>("626888")</f>
        <v>626888</v>
      </c>
      <c r="D257" s="11" t="str">
        <f>("622454868410")</f>
        <v>622454868410</v>
      </c>
      <c r="E257" s="3">
        <v>193088</v>
      </c>
      <c r="F257" s="8" t="s">
        <v>279</v>
      </c>
      <c r="G257" s="14">
        <v>1460.3192819465517</v>
      </c>
      <c r="H257" s="35">
        <v>45689</v>
      </c>
      <c r="I257" s="3">
        <v>3.448</v>
      </c>
      <c r="J257" s="3" t="s">
        <v>3</v>
      </c>
      <c r="K257" s="11" t="str">
        <f>("10622454868417")</f>
        <v>10622454868417</v>
      </c>
      <c r="L257" s="3">
        <v>120</v>
      </c>
      <c r="M257" s="3"/>
    </row>
    <row r="258" spans="1:13" x14ac:dyDescent="0.25">
      <c r="A258" s="3" t="s">
        <v>1371</v>
      </c>
      <c r="B258" s="10" t="s">
        <v>1351</v>
      </c>
      <c r="C258" s="3" t="str">
        <f>("226100")</f>
        <v>226100</v>
      </c>
      <c r="D258" s="11" t="str">
        <f>("622454875692")</f>
        <v>622454875692</v>
      </c>
      <c r="E258" s="3">
        <v>193085</v>
      </c>
      <c r="F258" s="8" t="s">
        <v>280</v>
      </c>
      <c r="G258" s="14">
        <v>1008.3617470041532</v>
      </c>
      <c r="H258" s="35">
        <v>45689</v>
      </c>
      <c r="I258" s="3">
        <v>6.0010000000000003</v>
      </c>
      <c r="J258" s="3" t="s">
        <v>149</v>
      </c>
      <c r="K258" s="11" t="str">
        <f>("10622454875699")</f>
        <v>10622454875699</v>
      </c>
      <c r="L258" s="3">
        <v>2</v>
      </c>
      <c r="M258" s="3">
        <v>60</v>
      </c>
    </row>
    <row r="259" spans="1:13" x14ac:dyDescent="0.25">
      <c r="A259" s="3" t="s">
        <v>1371</v>
      </c>
      <c r="B259" s="10" t="s">
        <v>1351</v>
      </c>
      <c r="C259" s="3" t="str">
        <f>("295102")</f>
        <v>295102</v>
      </c>
      <c r="D259" s="11" t="str">
        <f>("622454610453")</f>
        <v>622454610453</v>
      </c>
      <c r="E259" s="3"/>
      <c r="F259" s="8" t="s">
        <v>281</v>
      </c>
      <c r="G259" s="14">
        <v>515.56815078855504</v>
      </c>
      <c r="H259" s="35">
        <v>45689</v>
      </c>
      <c r="I259" s="3">
        <v>14.085000000000001</v>
      </c>
      <c r="J259" s="3" t="s">
        <v>10</v>
      </c>
      <c r="K259" s="11" t="str">
        <f>("30622454610454")</f>
        <v>30622454610454</v>
      </c>
      <c r="L259" s="3">
        <v>6</v>
      </c>
      <c r="M259" s="3">
        <v>72</v>
      </c>
    </row>
    <row r="260" spans="1:13" x14ac:dyDescent="0.25">
      <c r="A260" s="3" t="s">
        <v>1371</v>
      </c>
      <c r="B260" s="10" t="s">
        <v>1351</v>
      </c>
      <c r="C260" s="3" t="str">
        <f>("295105")</f>
        <v>295105</v>
      </c>
      <c r="D260" s="11" t="str">
        <f>("622454610484")</f>
        <v>622454610484</v>
      </c>
      <c r="E260" s="3"/>
      <c r="F260" s="8" t="s">
        <v>282</v>
      </c>
      <c r="G260" s="14">
        <v>651.15140601668372</v>
      </c>
      <c r="H260" s="35">
        <v>45689</v>
      </c>
      <c r="I260" s="3">
        <v>30.132999999999999</v>
      </c>
      <c r="J260" s="3" t="s">
        <v>10</v>
      </c>
      <c r="K260" s="11" t="str">
        <f>("10622454610481")</f>
        <v>10622454610481</v>
      </c>
      <c r="L260" s="3">
        <v>2</v>
      </c>
      <c r="M260" s="3">
        <v>60</v>
      </c>
    </row>
    <row r="261" spans="1:13" x14ac:dyDescent="0.25">
      <c r="A261" s="3" t="s">
        <v>1371</v>
      </c>
      <c r="B261" s="10" t="s">
        <v>1351</v>
      </c>
      <c r="C261" s="3" t="str">
        <f>("295107")</f>
        <v>295107</v>
      </c>
      <c r="D261" s="11" t="str">
        <f>("622454610507")</f>
        <v>622454610507</v>
      </c>
      <c r="E261" s="3"/>
      <c r="F261" s="8" t="s">
        <v>283</v>
      </c>
      <c r="G261" s="14">
        <v>1107.039800444277</v>
      </c>
      <c r="H261" s="35">
        <v>45689</v>
      </c>
      <c r="I261" s="3">
        <v>16.616</v>
      </c>
      <c r="J261" s="3" t="s">
        <v>10</v>
      </c>
      <c r="K261" s="11" t="str">
        <f>("10622454610504")</f>
        <v>10622454610504</v>
      </c>
      <c r="L261" s="3">
        <v>3</v>
      </c>
      <c r="M261" s="3">
        <v>36</v>
      </c>
    </row>
    <row r="262" spans="1:13" x14ac:dyDescent="0.25">
      <c r="A262" s="3" t="s">
        <v>1371</v>
      </c>
      <c r="B262" s="10" t="s">
        <v>1351</v>
      </c>
      <c r="C262" s="3" t="str">
        <f>("295109")</f>
        <v>295109</v>
      </c>
      <c r="D262" s="11" t="str">
        <f>("622454610521")</f>
        <v>622454610521</v>
      </c>
      <c r="E262" s="3"/>
      <c r="F262" s="8" t="s">
        <v>284</v>
      </c>
      <c r="G262" s="14">
        <v>1417.1974130572223</v>
      </c>
      <c r="H262" s="35">
        <v>45689</v>
      </c>
      <c r="I262" s="3">
        <v>23.553999999999998</v>
      </c>
      <c r="J262" s="3" t="s">
        <v>10</v>
      </c>
      <c r="K262" s="11" t="str">
        <f>("10622454610528")</f>
        <v>10622454610528</v>
      </c>
      <c r="L262" s="3">
        <v>2</v>
      </c>
      <c r="M262" s="3">
        <v>36</v>
      </c>
    </row>
    <row r="263" spans="1:13" x14ac:dyDescent="0.25">
      <c r="A263" s="3" t="s">
        <v>1371</v>
      </c>
      <c r="B263" s="10" t="s">
        <v>1351</v>
      </c>
      <c r="C263" s="3" t="str">
        <f>("295111")</f>
        <v>295111</v>
      </c>
      <c r="D263" s="11" t="str">
        <f>("622454610545")</f>
        <v>622454610545</v>
      </c>
      <c r="E263" s="3"/>
      <c r="F263" s="8" t="s">
        <v>285</v>
      </c>
      <c r="G263" s="14">
        <v>1568.0819083745996</v>
      </c>
      <c r="H263" s="35">
        <v>45689</v>
      </c>
      <c r="I263" s="3">
        <v>29.308</v>
      </c>
      <c r="J263" s="3" t="s">
        <v>10</v>
      </c>
      <c r="K263" s="11" t="str">
        <f>("00622454610545")</f>
        <v>00622454610545</v>
      </c>
      <c r="L263" s="3">
        <v>1</v>
      </c>
      <c r="M263" s="3">
        <v>12</v>
      </c>
    </row>
    <row r="264" spans="1:13" x14ac:dyDescent="0.25">
      <c r="A264" s="3" t="s">
        <v>1371</v>
      </c>
      <c r="B264" s="10" t="s">
        <v>1351</v>
      </c>
      <c r="C264" s="3" t="str">
        <f>("295113")</f>
        <v>295113</v>
      </c>
      <c r="D264" s="11" t="str">
        <f>("622454610569")</f>
        <v>622454610569</v>
      </c>
      <c r="E264" s="3"/>
      <c r="F264" s="8" t="s">
        <v>286</v>
      </c>
      <c r="G264" s="14">
        <v>2762.1567368506503</v>
      </c>
      <c r="H264" s="35">
        <v>45689</v>
      </c>
      <c r="I264" s="3">
        <v>46.59</v>
      </c>
      <c r="J264" s="3" t="s">
        <v>10</v>
      </c>
      <c r="K264" s="11" t="str">
        <f>("00622454610569")</f>
        <v>00622454610569</v>
      </c>
      <c r="L264" s="3">
        <v>1</v>
      </c>
      <c r="M264" s="3">
        <v>12</v>
      </c>
    </row>
    <row r="265" spans="1:13" x14ac:dyDescent="0.25">
      <c r="A265" s="3" t="s">
        <v>1371</v>
      </c>
      <c r="B265" s="10" t="s">
        <v>1351</v>
      </c>
      <c r="C265" s="3" t="str">
        <f>("295115")</f>
        <v>295115</v>
      </c>
      <c r="D265" s="11" t="str">
        <f>("622454610583")</f>
        <v>622454610583</v>
      </c>
      <c r="E265" s="3"/>
      <c r="F265" s="8" t="s">
        <v>287</v>
      </c>
      <c r="G265" s="14">
        <v>4082.9833974165008</v>
      </c>
      <c r="H265" s="35">
        <v>45689</v>
      </c>
      <c r="I265" s="3">
        <v>65.248000000000005</v>
      </c>
      <c r="J265" s="3" t="s">
        <v>10</v>
      </c>
      <c r="K265" s="11" t="str">
        <f>("00622454610583")</f>
        <v>00622454610583</v>
      </c>
      <c r="L265" s="3">
        <v>1</v>
      </c>
      <c r="M265" s="3"/>
    </row>
    <row r="266" spans="1:13" x14ac:dyDescent="0.25">
      <c r="A266" s="3" t="s">
        <v>1371</v>
      </c>
      <c r="B266" s="10" t="s">
        <v>1351</v>
      </c>
      <c r="C266" s="3" t="str">
        <f>("226107")</f>
        <v>226107</v>
      </c>
      <c r="D266" s="11" t="str">
        <f>("622454876057")</f>
        <v>622454876057</v>
      </c>
      <c r="E266" s="3">
        <v>193094</v>
      </c>
      <c r="F266" s="8" t="s">
        <v>288</v>
      </c>
      <c r="G266" s="14">
        <v>227.07774345099051</v>
      </c>
      <c r="H266" s="35">
        <v>45689</v>
      </c>
      <c r="I266" s="3">
        <v>0.441</v>
      </c>
      <c r="J266" s="3" t="s">
        <v>3</v>
      </c>
      <c r="K266" s="11" t="str">
        <f>("10622454876054")</f>
        <v>10622454876054</v>
      </c>
      <c r="L266" s="3">
        <v>4</v>
      </c>
      <c r="M266" s="3"/>
    </row>
    <row r="267" spans="1:13" x14ac:dyDescent="0.25">
      <c r="A267" s="3" t="s">
        <v>1371</v>
      </c>
      <c r="B267" s="10" t="s">
        <v>1351</v>
      </c>
      <c r="C267" s="3" t="str">
        <f>("226080")</f>
        <v>226080</v>
      </c>
      <c r="D267" s="11" t="str">
        <f>("622454875357")</f>
        <v>622454875357</v>
      </c>
      <c r="E267" s="3">
        <v>193096</v>
      </c>
      <c r="F267" s="8" t="s">
        <v>289</v>
      </c>
      <c r="G267" s="14">
        <v>711.87268066955039</v>
      </c>
      <c r="H267" s="35">
        <v>45689</v>
      </c>
      <c r="I267" s="3">
        <v>0.72799999999999998</v>
      </c>
      <c r="J267" s="3" t="s">
        <v>3</v>
      </c>
      <c r="K267" s="11" t="str">
        <f>("20622454875351")</f>
        <v>20622454875351</v>
      </c>
      <c r="L267" s="3">
        <v>6</v>
      </c>
      <c r="M267" s="3"/>
    </row>
    <row r="268" spans="1:13" x14ac:dyDescent="0.25">
      <c r="A268" s="3" t="s">
        <v>1371</v>
      </c>
      <c r="B268" s="10" t="s">
        <v>1351</v>
      </c>
      <c r="C268" s="3" t="str">
        <f>("226075")</f>
        <v>226075</v>
      </c>
      <c r="D268" s="11" t="str">
        <f>("622454875142")</f>
        <v>622454875142</v>
      </c>
      <c r="E268" s="3">
        <v>192898</v>
      </c>
      <c r="F268" s="8" t="s">
        <v>290</v>
      </c>
      <c r="G268" s="14">
        <v>805.75453536984685</v>
      </c>
      <c r="H268" s="35">
        <v>45689</v>
      </c>
      <c r="I268" s="3">
        <v>6.0010000000000003</v>
      </c>
      <c r="J268" s="3" t="s">
        <v>3</v>
      </c>
      <c r="K268" s="11" t="str">
        <f>("10622454875149")</f>
        <v>10622454875149</v>
      </c>
      <c r="L268" s="3">
        <v>6</v>
      </c>
      <c r="M268" s="3"/>
    </row>
    <row r="269" spans="1:13" x14ac:dyDescent="0.25">
      <c r="A269" s="3" t="s">
        <v>1371</v>
      </c>
      <c r="B269" s="10" t="s">
        <v>1351</v>
      </c>
      <c r="C269" s="3" t="str">
        <f>("226068")</f>
        <v>226068</v>
      </c>
      <c r="D269" s="11" t="str">
        <f>("622454875166")</f>
        <v>622454875166</v>
      </c>
      <c r="E269" s="3">
        <v>193095</v>
      </c>
      <c r="F269" s="8" t="s">
        <v>291</v>
      </c>
      <c r="G269" s="14">
        <v>1392.6370146044774</v>
      </c>
      <c r="H269" s="35">
        <v>45689</v>
      </c>
      <c r="I269" s="3">
        <v>13.007</v>
      </c>
      <c r="J269" s="3" t="s">
        <v>149</v>
      </c>
      <c r="K269" s="11" t="str">
        <f>("10622454875163")</f>
        <v>10622454875163</v>
      </c>
      <c r="L269" s="3">
        <v>2</v>
      </c>
      <c r="M269" s="3"/>
    </row>
    <row r="270" spans="1:13" x14ac:dyDescent="0.25">
      <c r="A270" s="3" t="s">
        <v>1371</v>
      </c>
      <c r="B270" s="10" t="s">
        <v>1351</v>
      </c>
      <c r="C270" s="3" t="str">
        <f>("226069")</f>
        <v>226069</v>
      </c>
      <c r="D270" s="11" t="str">
        <f>("622454875098")</f>
        <v>622454875098</v>
      </c>
      <c r="E270" s="3">
        <v>193097</v>
      </c>
      <c r="F270" s="8" t="s">
        <v>292</v>
      </c>
      <c r="G270" s="14">
        <v>1745.9797716269454</v>
      </c>
      <c r="H270" s="35">
        <v>45689</v>
      </c>
      <c r="I270" s="3">
        <v>14.991</v>
      </c>
      <c r="J270" s="3" t="s">
        <v>149</v>
      </c>
      <c r="K270" s="11" t="str">
        <f>("10622454875095")</f>
        <v>10622454875095</v>
      </c>
      <c r="L270" s="3">
        <v>2</v>
      </c>
      <c r="M270" s="3"/>
    </row>
    <row r="271" spans="1:13" x14ac:dyDescent="0.25">
      <c r="A271" s="3" t="s">
        <v>1371</v>
      </c>
      <c r="B271" s="10" t="s">
        <v>1351</v>
      </c>
      <c r="C271" s="3" t="str">
        <f>("295135")</f>
        <v>295135</v>
      </c>
      <c r="D271" s="11" t="str">
        <f>("622454610781")</f>
        <v>622454610781</v>
      </c>
      <c r="E271" s="3"/>
      <c r="F271" s="8" t="s">
        <v>293</v>
      </c>
      <c r="G271" s="14">
        <v>1411.7115986843883</v>
      </c>
      <c r="H271" s="35">
        <v>45689</v>
      </c>
      <c r="I271" s="3">
        <v>35.152999999999999</v>
      </c>
      <c r="J271" s="3" t="s">
        <v>10</v>
      </c>
      <c r="K271" s="11" t="str">
        <f>("00622454610781")</f>
        <v>00622454610781</v>
      </c>
      <c r="L271" s="3">
        <v>1</v>
      </c>
      <c r="M271" s="3"/>
    </row>
    <row r="272" spans="1:13" x14ac:dyDescent="0.25">
      <c r="A272" s="3" t="s">
        <v>1371</v>
      </c>
      <c r="B272" s="10" t="s">
        <v>1351</v>
      </c>
      <c r="C272" s="3" t="str">
        <f>("295138")</f>
        <v>295138</v>
      </c>
      <c r="D272" s="11" t="str">
        <f>("622454610811")</f>
        <v>622454610811</v>
      </c>
      <c r="E272" s="3"/>
      <c r="F272" s="8" t="s">
        <v>294</v>
      </c>
      <c r="G272" s="14">
        <v>1720.1964069145861</v>
      </c>
      <c r="H272" s="35">
        <v>45689</v>
      </c>
      <c r="I272" s="3">
        <v>44.569000000000003</v>
      </c>
      <c r="J272" s="3" t="s">
        <v>10</v>
      </c>
      <c r="K272" s="11" t="str">
        <f>("00622454610811")</f>
        <v>00622454610811</v>
      </c>
      <c r="L272" s="3">
        <v>1</v>
      </c>
      <c r="M272" s="3"/>
    </row>
    <row r="273" spans="1:13" x14ac:dyDescent="0.25">
      <c r="A273" s="3" t="s">
        <v>1371</v>
      </c>
      <c r="B273" s="10" t="s">
        <v>1351</v>
      </c>
      <c r="C273" s="3" t="str">
        <f>("295141")</f>
        <v>295141</v>
      </c>
      <c r="D273" s="11" t="str">
        <f>("622454610842")</f>
        <v>622454610842</v>
      </c>
      <c r="E273" s="3"/>
      <c r="F273" s="8" t="s">
        <v>295</v>
      </c>
      <c r="G273" s="14">
        <v>3761.9156562190192</v>
      </c>
      <c r="H273" s="35">
        <v>45689</v>
      </c>
      <c r="I273" s="3">
        <v>59.378999999999998</v>
      </c>
      <c r="J273" s="3" t="s">
        <v>10</v>
      </c>
      <c r="K273" s="11" t="str">
        <f>("00622454610842")</f>
        <v>00622454610842</v>
      </c>
      <c r="L273" s="3">
        <v>1</v>
      </c>
      <c r="M273" s="3"/>
    </row>
    <row r="274" spans="1:13" x14ac:dyDescent="0.25">
      <c r="A274" s="3" t="s">
        <v>1371</v>
      </c>
      <c r="B274" s="10" t="s">
        <v>1351</v>
      </c>
      <c r="C274" s="3" t="str">
        <f>("295143")</f>
        <v>295143</v>
      </c>
      <c r="D274" s="11" t="str">
        <f>("622454610866")</f>
        <v>622454610866</v>
      </c>
      <c r="E274" s="3"/>
      <c r="F274" s="8" t="s">
        <v>296</v>
      </c>
      <c r="G274" s="14">
        <v>6092.0706612251333</v>
      </c>
      <c r="H274" s="35">
        <v>45689</v>
      </c>
      <c r="I274" s="3">
        <v>85.730999999999995</v>
      </c>
      <c r="J274" s="3" t="s">
        <v>10</v>
      </c>
      <c r="K274" s="11" t="str">
        <f>("00622454610866")</f>
        <v>00622454610866</v>
      </c>
      <c r="L274" s="3">
        <v>1</v>
      </c>
      <c r="M274" s="3"/>
    </row>
    <row r="275" spans="1:13" x14ac:dyDescent="0.25">
      <c r="A275" s="3" t="s">
        <v>1371</v>
      </c>
      <c r="B275" s="10" t="s">
        <v>1351</v>
      </c>
      <c r="C275" s="3" t="str">
        <f>("295145")</f>
        <v>295145</v>
      </c>
      <c r="D275" s="11" t="str">
        <f>("622454610880")</f>
        <v>622454610880</v>
      </c>
      <c r="E275" s="3"/>
      <c r="F275" s="8" t="s">
        <v>297</v>
      </c>
      <c r="G275" s="14">
        <v>9160.3506001185724</v>
      </c>
      <c r="H275" s="35">
        <v>45689</v>
      </c>
      <c r="I275" s="3">
        <v>2E-3</v>
      </c>
      <c r="J275" s="3" t="s">
        <v>10</v>
      </c>
      <c r="K275" s="11" t="str">
        <f>("00622454610880")</f>
        <v>00622454610880</v>
      </c>
      <c r="L275" s="3">
        <v>1</v>
      </c>
      <c r="M275" s="3"/>
    </row>
    <row r="276" spans="1:13" x14ac:dyDescent="0.25">
      <c r="A276" s="3" t="s">
        <v>1371</v>
      </c>
      <c r="B276" s="10" t="s">
        <v>1351</v>
      </c>
      <c r="C276" s="3" t="str">
        <f>("755175")</f>
        <v>755175</v>
      </c>
      <c r="D276" s="11" t="str">
        <f>("662671191632")</f>
        <v>662671191632</v>
      </c>
      <c r="E276" s="3">
        <v>192551</v>
      </c>
      <c r="F276" s="8" t="s">
        <v>298</v>
      </c>
      <c r="G276" s="14">
        <v>39.665706363930525</v>
      </c>
      <c r="H276" s="35">
        <v>45689</v>
      </c>
      <c r="I276" s="3">
        <v>0.13900000000000001</v>
      </c>
      <c r="J276" s="3" t="s">
        <v>3</v>
      </c>
      <c r="K276" s="11" t="str">
        <f>("10662671191639")</f>
        <v>10662671191639</v>
      </c>
      <c r="L276" s="3">
        <v>75</v>
      </c>
      <c r="M276" s="3">
        <v>5400</v>
      </c>
    </row>
    <row r="277" spans="1:13" x14ac:dyDescent="0.25">
      <c r="A277" s="3" t="s">
        <v>1371</v>
      </c>
      <c r="B277" s="10" t="s">
        <v>1351</v>
      </c>
      <c r="C277" s="3" t="str">
        <f>("755176")</f>
        <v>755176</v>
      </c>
      <c r="D277" s="11" t="str">
        <f>("662671191649")</f>
        <v>662671191649</v>
      </c>
      <c r="E277" s="3">
        <v>192552</v>
      </c>
      <c r="F277" s="8" t="s">
        <v>299</v>
      </c>
      <c r="G277" s="14">
        <v>47.021518921999657</v>
      </c>
      <c r="H277" s="35">
        <v>45689</v>
      </c>
      <c r="I277" s="3">
        <v>0.218</v>
      </c>
      <c r="J277" s="3" t="s">
        <v>3</v>
      </c>
      <c r="K277" s="11" t="str">
        <f>("10662671191646")</f>
        <v>10662671191646</v>
      </c>
      <c r="L277" s="3">
        <v>50</v>
      </c>
      <c r="M277" s="3">
        <v>2400</v>
      </c>
    </row>
    <row r="278" spans="1:13" x14ac:dyDescent="0.25">
      <c r="A278" s="3" t="s">
        <v>1371</v>
      </c>
      <c r="B278" s="10" t="s">
        <v>1351</v>
      </c>
      <c r="C278" s="3" t="str">
        <f>("755177")</f>
        <v>755177</v>
      </c>
      <c r="D278" s="11" t="str">
        <f>("662671192363")</f>
        <v>662671192363</v>
      </c>
      <c r="E278" s="3">
        <v>192553</v>
      </c>
      <c r="F278" s="8" t="s">
        <v>300</v>
      </c>
      <c r="G278" s="14">
        <v>115.93463936144009</v>
      </c>
      <c r="H278" s="35">
        <v>45689</v>
      </c>
      <c r="I278" s="3">
        <v>0.61899999999999999</v>
      </c>
      <c r="J278" s="3" t="s">
        <v>3</v>
      </c>
      <c r="K278" s="11" t="str">
        <f>("10662671192360")</f>
        <v>10662671192360</v>
      </c>
      <c r="L278" s="3">
        <v>20</v>
      </c>
      <c r="M278" s="3">
        <v>960</v>
      </c>
    </row>
    <row r="279" spans="1:13" x14ac:dyDescent="0.25">
      <c r="A279" s="3" t="s">
        <v>1371</v>
      </c>
      <c r="B279" s="10" t="s">
        <v>1351</v>
      </c>
      <c r="C279" s="3" t="str">
        <f>("755178")</f>
        <v>755178</v>
      </c>
      <c r="D279" s="11" t="str">
        <f>("662671192370")</f>
        <v>662671192370</v>
      </c>
      <c r="E279" s="3">
        <v>192554</v>
      </c>
      <c r="F279" s="8" t="s">
        <v>301</v>
      </c>
      <c r="G279" s="14">
        <v>183.14801028547009</v>
      </c>
      <c r="H279" s="35">
        <v>45689</v>
      </c>
      <c r="I279" s="3">
        <v>1.105</v>
      </c>
      <c r="J279" s="3" t="s">
        <v>3</v>
      </c>
      <c r="K279" s="11" t="str">
        <f>("10662671192377")</f>
        <v>10662671192377</v>
      </c>
      <c r="L279" s="3">
        <v>15</v>
      </c>
      <c r="M279" s="3">
        <v>480</v>
      </c>
    </row>
    <row r="280" spans="1:13" x14ac:dyDescent="0.25">
      <c r="A280" s="3" t="s">
        <v>1371</v>
      </c>
      <c r="B280" s="10" t="s">
        <v>1351</v>
      </c>
      <c r="C280" s="3" t="str">
        <f>("755179")</f>
        <v>755179</v>
      </c>
      <c r="D280" s="11" t="str">
        <f>("662671190819")</f>
        <v>662671190819</v>
      </c>
      <c r="E280" s="3">
        <v>192556</v>
      </c>
      <c r="F280" s="8" t="s">
        <v>302</v>
      </c>
      <c r="G280" s="14">
        <v>1057.8742781470132</v>
      </c>
      <c r="H280" s="35">
        <v>45689</v>
      </c>
      <c r="I280" s="3">
        <v>2.972</v>
      </c>
      <c r="J280" s="3" t="s">
        <v>3</v>
      </c>
      <c r="K280" s="11" t="str">
        <f>("10662671190816")</f>
        <v>10662671190816</v>
      </c>
      <c r="L280" s="3">
        <v>8</v>
      </c>
      <c r="M280" s="3">
        <v>144</v>
      </c>
    </row>
    <row r="281" spans="1:13" x14ac:dyDescent="0.25">
      <c r="A281" s="3" t="s">
        <v>1371</v>
      </c>
      <c r="B281" s="10" t="s">
        <v>1351</v>
      </c>
      <c r="C281" s="3" t="str">
        <f>("294515")</f>
        <v>294515</v>
      </c>
      <c r="D281" s="11" t="str">
        <f>("622454604391")</f>
        <v>622454604391</v>
      </c>
      <c r="E281" s="3"/>
      <c r="F281" s="8" t="s">
        <v>303</v>
      </c>
      <c r="G281" s="14">
        <v>492.23498965567285</v>
      </c>
      <c r="H281" s="35">
        <v>45689</v>
      </c>
      <c r="I281" s="3">
        <v>5.3570000000000002</v>
      </c>
      <c r="J281" s="3" t="s">
        <v>10</v>
      </c>
      <c r="K281" s="11" t="str">
        <f>("10622454604398")</f>
        <v>10622454604398</v>
      </c>
      <c r="L281" s="3">
        <v>4</v>
      </c>
      <c r="M281" s="3">
        <v>48</v>
      </c>
    </row>
    <row r="282" spans="1:13" x14ac:dyDescent="0.25">
      <c r="A282" s="3" t="s">
        <v>1371</v>
      </c>
      <c r="B282" s="10" t="s">
        <v>1351</v>
      </c>
      <c r="C282" s="3" t="str">
        <f>("294519")</f>
        <v>294519</v>
      </c>
      <c r="D282" s="11" t="str">
        <f>("622454604438")</f>
        <v>622454604438</v>
      </c>
      <c r="E282" s="3"/>
      <c r="F282" s="8" t="s">
        <v>304</v>
      </c>
      <c r="G282" s="14">
        <v>742.7497460043345</v>
      </c>
      <c r="H282" s="35">
        <v>45689</v>
      </c>
      <c r="I282" s="3">
        <v>9.6120000000000001</v>
      </c>
      <c r="J282" s="3" t="s">
        <v>10</v>
      </c>
      <c r="K282" s="11" t="str">
        <f>("30622454604439")</f>
        <v>30622454604439</v>
      </c>
      <c r="L282" s="3">
        <v>18</v>
      </c>
      <c r="M282" s="3">
        <v>12</v>
      </c>
    </row>
    <row r="283" spans="1:13" x14ac:dyDescent="0.25">
      <c r="A283" s="3" t="s">
        <v>1371</v>
      </c>
      <c r="B283" s="10" t="s">
        <v>1351</v>
      </c>
      <c r="C283" s="3" t="str">
        <f>("294523")</f>
        <v>294523</v>
      </c>
      <c r="D283" s="11" t="str">
        <f>("622454604476")</f>
        <v>622454604476</v>
      </c>
      <c r="E283" s="3"/>
      <c r="F283" s="8" t="s">
        <v>305</v>
      </c>
      <c r="G283" s="14">
        <v>1175.0097785256196</v>
      </c>
      <c r="H283" s="35">
        <v>45689</v>
      </c>
      <c r="I283" s="3">
        <v>15.622</v>
      </c>
      <c r="J283" s="3" t="s">
        <v>10</v>
      </c>
      <c r="K283" s="11" t="str">
        <f>("10622454604473")</f>
        <v>10622454604473</v>
      </c>
      <c r="L283" s="3">
        <v>12</v>
      </c>
      <c r="M283" s="3"/>
    </row>
    <row r="284" spans="1:13" x14ac:dyDescent="0.25">
      <c r="A284" s="3" t="s">
        <v>1371</v>
      </c>
      <c r="B284" s="10" t="s">
        <v>1351</v>
      </c>
      <c r="C284" s="3" t="str">
        <f>("294527")</f>
        <v>294527</v>
      </c>
      <c r="D284" s="11" t="str">
        <f>("622454604513")</f>
        <v>622454604513</v>
      </c>
      <c r="E284" s="3"/>
      <c r="F284" s="8" t="s">
        <v>306</v>
      </c>
      <c r="G284" s="14">
        <v>1847.2434397778122</v>
      </c>
      <c r="H284" s="35">
        <v>45689</v>
      </c>
      <c r="I284" s="3">
        <v>21.914000000000001</v>
      </c>
      <c r="J284" s="3" t="s">
        <v>10</v>
      </c>
      <c r="K284" s="11" t="str">
        <f>("00622454604513")</f>
        <v>00622454604513</v>
      </c>
      <c r="L284" s="3">
        <v>1</v>
      </c>
      <c r="M284" s="3"/>
    </row>
    <row r="285" spans="1:13" x14ac:dyDescent="0.25">
      <c r="A285" s="3" t="s">
        <v>1371</v>
      </c>
      <c r="B285" s="10" t="s">
        <v>1351</v>
      </c>
      <c r="C285" s="3" t="str">
        <f>("294531")</f>
        <v>294531</v>
      </c>
      <c r="D285" s="11" t="str">
        <f>("622454604551")</f>
        <v>622454604551</v>
      </c>
      <c r="E285" s="3"/>
      <c r="F285" s="8" t="s">
        <v>307</v>
      </c>
      <c r="G285" s="14">
        <v>2518.1240974851353</v>
      </c>
      <c r="H285" s="35">
        <v>45689</v>
      </c>
      <c r="I285" s="3">
        <v>31.521999999999998</v>
      </c>
      <c r="J285" s="3" t="s">
        <v>10</v>
      </c>
      <c r="K285" s="11" t="str">
        <f>("10622454604558")</f>
        <v>10622454604558</v>
      </c>
      <c r="L285" s="3">
        <v>4</v>
      </c>
      <c r="M285" s="3"/>
    </row>
    <row r="286" spans="1:13" x14ac:dyDescent="0.25">
      <c r="A286" s="3" t="s">
        <v>1371</v>
      </c>
      <c r="B286" s="10" t="s">
        <v>1351</v>
      </c>
      <c r="C286" s="3" t="str">
        <f>("294535")</f>
        <v>294535</v>
      </c>
      <c r="D286" s="11" t="str">
        <f>("622454604599")</f>
        <v>622454604599</v>
      </c>
      <c r="E286" s="3"/>
      <c r="F286" s="8" t="s">
        <v>308</v>
      </c>
      <c r="G286" s="14">
        <v>3024.1105231695701</v>
      </c>
      <c r="H286" s="35">
        <v>45689</v>
      </c>
      <c r="I286" s="3">
        <v>44.646000000000001</v>
      </c>
      <c r="J286" s="3" t="s">
        <v>10</v>
      </c>
      <c r="K286" s="11" t="str">
        <f>("00622454604599")</f>
        <v>00622454604599</v>
      </c>
      <c r="L286" s="3">
        <v>1</v>
      </c>
      <c r="M286" s="3"/>
    </row>
    <row r="287" spans="1:13" x14ac:dyDescent="0.25">
      <c r="A287" s="3" t="s">
        <v>1371</v>
      </c>
      <c r="B287" s="10" t="s">
        <v>1351</v>
      </c>
      <c r="C287" s="3" t="str">
        <f>("294539")</f>
        <v>294539</v>
      </c>
      <c r="D287" s="11" t="str">
        <f>("622454604636")</f>
        <v>622454604636</v>
      </c>
      <c r="E287" s="3"/>
      <c r="F287" s="8" t="s">
        <v>309</v>
      </c>
      <c r="G287" s="14">
        <v>3738.1642939904505</v>
      </c>
      <c r="H287" s="35">
        <v>45689</v>
      </c>
      <c r="I287" s="3">
        <v>58.619</v>
      </c>
      <c r="J287" s="3" t="s">
        <v>10</v>
      </c>
      <c r="K287" s="11" t="str">
        <f>("00622454604636")</f>
        <v>00622454604636</v>
      </c>
      <c r="L287" s="3">
        <v>1</v>
      </c>
      <c r="M287" s="3"/>
    </row>
    <row r="288" spans="1:13" x14ac:dyDescent="0.25">
      <c r="A288" s="3" t="s">
        <v>1371</v>
      </c>
      <c r="B288" s="10" t="s">
        <v>1351</v>
      </c>
      <c r="C288" s="3" t="str">
        <f>("294543")</f>
        <v>294543</v>
      </c>
      <c r="D288" s="11" t="str">
        <f>("622454604674")</f>
        <v>622454604674</v>
      </c>
      <c r="E288" s="3"/>
      <c r="F288" s="8" t="s">
        <v>310</v>
      </c>
      <c r="G288" s="14">
        <v>6683.1856099462975</v>
      </c>
      <c r="H288" s="35">
        <v>45689</v>
      </c>
      <c r="I288" s="3">
        <v>91.614999999999995</v>
      </c>
      <c r="J288" s="3" t="s">
        <v>10</v>
      </c>
      <c r="K288" s="11" t="str">
        <f>("00622454604674")</f>
        <v>00622454604674</v>
      </c>
      <c r="L288" s="3">
        <v>1</v>
      </c>
      <c r="M288" s="3"/>
    </row>
    <row r="289" spans="1:13" x14ac:dyDescent="0.25">
      <c r="A289" s="3" t="s">
        <v>1371</v>
      </c>
      <c r="B289" s="10" t="s">
        <v>1351</v>
      </c>
      <c r="C289" s="3" t="str">
        <f>("755185")</f>
        <v>755185</v>
      </c>
      <c r="D289" s="11" t="str">
        <f>("662671191656")</f>
        <v>662671191656</v>
      </c>
      <c r="E289" s="3">
        <v>192561</v>
      </c>
      <c r="F289" s="8" t="s">
        <v>311</v>
      </c>
      <c r="G289" s="14">
        <v>107.40658575826033</v>
      </c>
      <c r="H289" s="35">
        <v>45689</v>
      </c>
      <c r="I289" s="3">
        <v>0.13</v>
      </c>
      <c r="J289" s="3" t="s">
        <v>3</v>
      </c>
      <c r="K289" s="11" t="str">
        <f>("10662671191653")</f>
        <v>10662671191653</v>
      </c>
      <c r="L289" s="3">
        <v>90</v>
      </c>
      <c r="M289" s="3">
        <v>6480</v>
      </c>
    </row>
    <row r="290" spans="1:13" x14ac:dyDescent="0.25">
      <c r="A290" s="3" t="s">
        <v>1371</v>
      </c>
      <c r="B290" s="10" t="s">
        <v>1351</v>
      </c>
      <c r="C290" s="3" t="str">
        <f>("755186")</f>
        <v>755186</v>
      </c>
      <c r="D290" s="11" t="str">
        <f>("662671191663")</f>
        <v>662671191663</v>
      </c>
      <c r="E290" s="3">
        <v>192562</v>
      </c>
      <c r="F290" s="8" t="s">
        <v>312</v>
      </c>
      <c r="G290" s="14">
        <v>115.17268268211821</v>
      </c>
      <c r="H290" s="35">
        <v>45689</v>
      </c>
      <c r="I290" s="3">
        <v>0.19600000000000001</v>
      </c>
      <c r="J290" s="3" t="s">
        <v>3</v>
      </c>
      <c r="K290" s="11" t="str">
        <f>("10662671191660")</f>
        <v>10662671191660</v>
      </c>
      <c r="L290" s="3">
        <v>45</v>
      </c>
      <c r="M290" s="3">
        <v>3240</v>
      </c>
    </row>
    <row r="291" spans="1:13" x14ac:dyDescent="0.25">
      <c r="A291" s="3" t="s">
        <v>1371</v>
      </c>
      <c r="B291" s="10" t="s">
        <v>1351</v>
      </c>
      <c r="C291" s="3" t="str">
        <f>("755187")</f>
        <v>755187</v>
      </c>
      <c r="D291" s="11" t="str">
        <f>("662671192387")</f>
        <v>662671192387</v>
      </c>
      <c r="E291" s="3">
        <v>192563</v>
      </c>
      <c r="F291" s="8" t="s">
        <v>313</v>
      </c>
      <c r="G291" s="14">
        <v>179.49941003256339</v>
      </c>
      <c r="H291" s="35">
        <v>45689</v>
      </c>
      <c r="I291" s="3">
        <v>0.61899999999999999</v>
      </c>
      <c r="J291" s="3" t="s">
        <v>3</v>
      </c>
      <c r="K291" s="11" t="str">
        <f>("10662671192384")</f>
        <v>10662671192384</v>
      </c>
      <c r="L291" s="3">
        <v>30</v>
      </c>
      <c r="M291" s="3">
        <v>960</v>
      </c>
    </row>
    <row r="292" spans="1:13" x14ac:dyDescent="0.25">
      <c r="A292" s="3" t="s">
        <v>1371</v>
      </c>
      <c r="B292" s="10" t="s">
        <v>1351</v>
      </c>
      <c r="C292" s="3" t="str">
        <f>("755188")</f>
        <v>755188</v>
      </c>
      <c r="D292" s="11" t="str">
        <f>("662671192394")</f>
        <v>662671192394</v>
      </c>
      <c r="E292" s="3">
        <v>192564</v>
      </c>
      <c r="F292" s="8" t="s">
        <v>314</v>
      </c>
      <c r="G292" s="14">
        <v>260.45730721051535</v>
      </c>
      <c r="H292" s="35">
        <v>45689</v>
      </c>
      <c r="I292" s="3">
        <v>1.0820000000000001</v>
      </c>
      <c r="J292" s="3" t="s">
        <v>3</v>
      </c>
      <c r="K292" s="11" t="str">
        <f>("10662671192391")</f>
        <v>10662671192391</v>
      </c>
      <c r="L292" s="3">
        <v>15</v>
      </c>
      <c r="M292" s="3">
        <v>480</v>
      </c>
    </row>
    <row r="293" spans="1:13" x14ac:dyDescent="0.25">
      <c r="A293" s="3" t="s">
        <v>1371</v>
      </c>
      <c r="B293" s="10" t="s">
        <v>1351</v>
      </c>
      <c r="C293" s="3" t="str">
        <f>("755189")</f>
        <v>755189</v>
      </c>
      <c r="D293" s="11" t="str">
        <f>("662671190772")</f>
        <v>662671190772</v>
      </c>
      <c r="E293" s="3">
        <v>192566</v>
      </c>
      <c r="F293" s="8" t="s">
        <v>315</v>
      </c>
      <c r="G293" s="14">
        <v>1024.8903457402132</v>
      </c>
      <c r="H293" s="35">
        <v>45689</v>
      </c>
      <c r="I293" s="3">
        <v>2.8109999999999999</v>
      </c>
      <c r="J293" s="3" t="s">
        <v>3</v>
      </c>
      <c r="K293" s="11" t="str">
        <f>("10662671190779")</f>
        <v>10662671190779</v>
      </c>
      <c r="L293" s="3">
        <v>8</v>
      </c>
      <c r="M293" s="3">
        <v>144</v>
      </c>
    </row>
    <row r="294" spans="1:13" x14ac:dyDescent="0.25">
      <c r="A294" s="3" t="s">
        <v>1371</v>
      </c>
      <c r="B294" s="10" t="s">
        <v>1351</v>
      </c>
      <c r="C294" s="3" t="str">
        <f>("294517")</f>
        <v>294517</v>
      </c>
      <c r="D294" s="11" t="str">
        <f>("622454604414")</f>
        <v>622454604414</v>
      </c>
      <c r="E294" s="3"/>
      <c r="F294" s="8" t="s">
        <v>316</v>
      </c>
      <c r="G294" s="14">
        <v>541.41051849555845</v>
      </c>
      <c r="H294" s="35">
        <v>45689</v>
      </c>
      <c r="I294" s="3">
        <v>6.0410000000000004</v>
      </c>
      <c r="J294" s="3" t="s">
        <v>10</v>
      </c>
      <c r="K294" s="11" t="str">
        <f>("10622454604411")</f>
        <v>10622454604411</v>
      </c>
      <c r="L294" s="3">
        <v>4</v>
      </c>
      <c r="M294" s="3">
        <v>32</v>
      </c>
    </row>
    <row r="295" spans="1:13" x14ac:dyDescent="0.25">
      <c r="A295" s="3" t="s">
        <v>1371</v>
      </c>
      <c r="B295" s="10" t="s">
        <v>1351</v>
      </c>
      <c r="C295" s="3" t="str">
        <f>("294521")</f>
        <v>294521</v>
      </c>
      <c r="D295" s="11" t="str">
        <f>("622454604452")</f>
        <v>622454604452</v>
      </c>
      <c r="E295" s="3"/>
      <c r="F295" s="8" t="s">
        <v>317</v>
      </c>
      <c r="G295" s="14">
        <v>816.98044048875408</v>
      </c>
      <c r="H295" s="35">
        <v>45689</v>
      </c>
      <c r="I295" s="3">
        <v>11.03</v>
      </c>
      <c r="J295" s="3" t="s">
        <v>10</v>
      </c>
      <c r="K295" s="11" t="str">
        <f>("10622454604459")</f>
        <v>10622454604459</v>
      </c>
      <c r="L295" s="3">
        <v>2</v>
      </c>
      <c r="M295" s="3">
        <v>16</v>
      </c>
    </row>
    <row r="296" spans="1:13" x14ac:dyDescent="0.25">
      <c r="A296" s="3" t="s">
        <v>1371</v>
      </c>
      <c r="B296" s="10" t="s">
        <v>1351</v>
      </c>
      <c r="C296" s="3" t="str">
        <f>("294525")</f>
        <v>294525</v>
      </c>
      <c r="D296" s="11" t="str">
        <f>("622454604490")</f>
        <v>622454604490</v>
      </c>
      <c r="E296" s="3"/>
      <c r="F296" s="8" t="s">
        <v>318</v>
      </c>
      <c r="G296" s="14">
        <v>1292.4258861558217</v>
      </c>
      <c r="H296" s="35">
        <v>45689</v>
      </c>
      <c r="I296" s="3">
        <v>16.931000000000001</v>
      </c>
      <c r="J296" s="3" t="s">
        <v>10</v>
      </c>
      <c r="K296" s="11" t="str">
        <f>("00622454604490")</f>
        <v>00622454604490</v>
      </c>
      <c r="L296" s="3">
        <v>1</v>
      </c>
      <c r="M296" s="3"/>
    </row>
    <row r="297" spans="1:13" x14ac:dyDescent="0.25">
      <c r="A297" s="3" t="s">
        <v>1371</v>
      </c>
      <c r="B297" s="10" t="s">
        <v>1351</v>
      </c>
      <c r="C297" s="3" t="str">
        <f>("294529")</f>
        <v>294529</v>
      </c>
      <c r="D297" s="11" t="str">
        <f>("622454604537")</f>
        <v>622454604537</v>
      </c>
      <c r="E297" s="3"/>
      <c r="F297" s="8" t="s">
        <v>319</v>
      </c>
      <c r="G297" s="14">
        <v>2031.903823588018</v>
      </c>
      <c r="H297" s="35">
        <v>45689</v>
      </c>
      <c r="I297" s="3">
        <v>21.914000000000001</v>
      </c>
      <c r="J297" s="3" t="s">
        <v>10</v>
      </c>
      <c r="K297" s="11" t="str">
        <f>("00622454604537")</f>
        <v>00622454604537</v>
      </c>
      <c r="L297" s="3">
        <v>1</v>
      </c>
      <c r="M297" s="3"/>
    </row>
    <row r="298" spans="1:13" x14ac:dyDescent="0.25">
      <c r="A298" s="3" t="s">
        <v>1371</v>
      </c>
      <c r="B298" s="10" t="s">
        <v>1351</v>
      </c>
      <c r="C298" s="3" t="str">
        <f>("294533")</f>
        <v>294533</v>
      </c>
      <c r="D298" s="11" t="str">
        <f>("622454604575")</f>
        <v>622454604575</v>
      </c>
      <c r="E298" s="3"/>
      <c r="F298" s="8" t="s">
        <v>320</v>
      </c>
      <c r="G298" s="14">
        <v>1999.7761394134848</v>
      </c>
      <c r="H298" s="35">
        <v>45689</v>
      </c>
      <c r="I298" s="3">
        <v>31.521999999999998</v>
      </c>
      <c r="J298" s="3" t="s">
        <v>10</v>
      </c>
      <c r="K298" s="11" t="str">
        <f>("00622454604575")</f>
        <v>00622454604575</v>
      </c>
      <c r="L298" s="3">
        <v>1</v>
      </c>
      <c r="M298" s="3"/>
    </row>
    <row r="299" spans="1:13" x14ac:dyDescent="0.25">
      <c r="A299" s="3" t="s">
        <v>1371</v>
      </c>
      <c r="B299" s="10" t="s">
        <v>1351</v>
      </c>
      <c r="C299" s="3" t="str">
        <f>("294537")</f>
        <v>294537</v>
      </c>
      <c r="D299" s="11" t="str">
        <f>("622454604612")</f>
        <v>622454604612</v>
      </c>
      <c r="E299" s="3"/>
      <c r="F299" s="8" t="s">
        <v>321</v>
      </c>
      <c r="G299" s="14">
        <v>3326.5314155123078</v>
      </c>
      <c r="H299" s="35">
        <v>45689</v>
      </c>
      <c r="I299" s="3">
        <v>73.838999999999999</v>
      </c>
      <c r="J299" s="3" t="s">
        <v>10</v>
      </c>
      <c r="K299" s="11" t="str">
        <f>("00622454604612")</f>
        <v>00622454604612</v>
      </c>
      <c r="L299" s="3">
        <v>1</v>
      </c>
      <c r="M299" s="3"/>
    </row>
    <row r="300" spans="1:13" x14ac:dyDescent="0.25">
      <c r="A300" s="3" t="s">
        <v>1371</v>
      </c>
      <c r="B300" s="10" t="s">
        <v>1351</v>
      </c>
      <c r="C300" s="3" t="str">
        <f>("294541")</f>
        <v>294541</v>
      </c>
      <c r="D300" s="11" t="str">
        <f>("622454604650")</f>
        <v>622454604650</v>
      </c>
      <c r="E300" s="3"/>
      <c r="F300" s="8" t="s">
        <v>322</v>
      </c>
      <c r="G300" s="14">
        <v>5067.9330779846632</v>
      </c>
      <c r="H300" s="35">
        <v>45689</v>
      </c>
      <c r="I300" s="3">
        <v>58.619</v>
      </c>
      <c r="J300" s="3" t="s">
        <v>10</v>
      </c>
      <c r="K300" s="11" t="str">
        <f>("00622454604650")</f>
        <v>00622454604650</v>
      </c>
      <c r="L300" s="3">
        <v>1</v>
      </c>
      <c r="M300" s="3"/>
    </row>
    <row r="301" spans="1:13" x14ac:dyDescent="0.25">
      <c r="A301" s="3" t="s">
        <v>1371</v>
      </c>
      <c r="B301" s="10" t="s">
        <v>1351</v>
      </c>
      <c r="C301" s="3" t="str">
        <f>("294545")</f>
        <v>294545</v>
      </c>
      <c r="D301" s="11" t="str">
        <f>("622454604698")</f>
        <v>622454604698</v>
      </c>
      <c r="E301" s="3"/>
      <c r="F301" s="8" t="s">
        <v>323</v>
      </c>
      <c r="G301" s="14">
        <v>7862.5495998799515</v>
      </c>
      <c r="H301" s="35">
        <v>45689</v>
      </c>
      <c r="I301" s="3">
        <v>153.56299999999999</v>
      </c>
      <c r="J301" s="3" t="s">
        <v>10</v>
      </c>
      <c r="K301" s="11" t="str">
        <f>("00622454604698")</f>
        <v>00622454604698</v>
      </c>
      <c r="L301" s="3">
        <v>1</v>
      </c>
      <c r="M301" s="3"/>
    </row>
    <row r="302" spans="1:13" x14ac:dyDescent="0.25">
      <c r="A302" s="3" t="s">
        <v>1371</v>
      </c>
      <c r="B302" s="10" t="s">
        <v>1351</v>
      </c>
      <c r="C302" s="3" t="str">
        <f>("755160")</f>
        <v>755160</v>
      </c>
      <c r="D302" s="11" t="str">
        <f>("662671190246")</f>
        <v>662671190246</v>
      </c>
      <c r="E302" s="3">
        <v>192501</v>
      </c>
      <c r="F302" s="8" t="s">
        <v>324</v>
      </c>
      <c r="G302" s="14">
        <v>27.943295912824354</v>
      </c>
      <c r="H302" s="35">
        <v>45689</v>
      </c>
      <c r="I302" s="3">
        <v>0.20100000000000001</v>
      </c>
      <c r="J302" s="3" t="s">
        <v>3</v>
      </c>
      <c r="K302" s="11" t="str">
        <f>("10662671190243")</f>
        <v>10662671190243</v>
      </c>
      <c r="L302" s="3">
        <v>125</v>
      </c>
      <c r="M302" s="3">
        <v>4000</v>
      </c>
    </row>
    <row r="303" spans="1:13" x14ac:dyDescent="0.25">
      <c r="A303" s="3" t="s">
        <v>1371</v>
      </c>
      <c r="B303" s="10" t="s">
        <v>1351</v>
      </c>
      <c r="C303" s="3" t="str">
        <f>("755161")</f>
        <v>755161</v>
      </c>
      <c r="D303" s="11" t="str">
        <f>("662671190253")</f>
        <v>662671190253</v>
      </c>
      <c r="E303" s="3">
        <v>192502</v>
      </c>
      <c r="F303" s="8" t="s">
        <v>325</v>
      </c>
      <c r="G303" s="14">
        <v>41.687822166746344</v>
      </c>
      <c r="H303" s="35">
        <v>45689</v>
      </c>
      <c r="I303" s="3">
        <v>0.311</v>
      </c>
      <c r="J303" s="3" t="s">
        <v>3</v>
      </c>
      <c r="K303" s="11" t="str">
        <f>("10662671190250")</f>
        <v>10662671190250</v>
      </c>
      <c r="L303" s="3">
        <v>45</v>
      </c>
      <c r="M303" s="3">
        <v>2160</v>
      </c>
    </row>
    <row r="304" spans="1:13" x14ac:dyDescent="0.25">
      <c r="A304" s="3" t="s">
        <v>1371</v>
      </c>
      <c r="B304" s="10" t="s">
        <v>1351</v>
      </c>
      <c r="C304" s="3" t="str">
        <f>("755162")</f>
        <v>755162</v>
      </c>
      <c r="D304" s="11" t="str">
        <f>("662671190260")</f>
        <v>662671190260</v>
      </c>
      <c r="E304" s="3">
        <v>192503</v>
      </c>
      <c r="F304" s="8" t="s">
        <v>326</v>
      </c>
      <c r="G304" s="14">
        <v>118.3816925431085</v>
      </c>
      <c r="H304" s="35">
        <v>45689</v>
      </c>
      <c r="I304" s="3">
        <v>0.86599999999999999</v>
      </c>
      <c r="J304" s="3" t="s">
        <v>3</v>
      </c>
      <c r="K304" s="11" t="str">
        <f>("10662671190267")</f>
        <v>10662671190267</v>
      </c>
      <c r="L304" s="3">
        <v>20</v>
      </c>
      <c r="M304" s="3">
        <v>640</v>
      </c>
    </row>
    <row r="305" spans="1:13" x14ac:dyDescent="0.25">
      <c r="A305" s="3" t="s">
        <v>1371</v>
      </c>
      <c r="B305" s="10" t="s">
        <v>1351</v>
      </c>
      <c r="C305" s="3" t="str">
        <f>("755163")</f>
        <v>755163</v>
      </c>
      <c r="D305" s="11" t="str">
        <f>("662671191625")</f>
        <v>662671191625</v>
      </c>
      <c r="E305" s="3">
        <v>192504</v>
      </c>
      <c r="F305" s="8" t="s">
        <v>327</v>
      </c>
      <c r="G305" s="14">
        <v>216.83528731933652</v>
      </c>
      <c r="H305" s="35">
        <v>45689</v>
      </c>
      <c r="I305" s="3">
        <v>1.5409999999999999</v>
      </c>
      <c r="J305" s="3" t="s">
        <v>3</v>
      </c>
      <c r="K305" s="11" t="str">
        <f>("10662671191622")</f>
        <v>10662671191622</v>
      </c>
      <c r="L305" s="3">
        <v>10</v>
      </c>
      <c r="M305" s="3">
        <v>320</v>
      </c>
    </row>
    <row r="306" spans="1:13" x14ac:dyDescent="0.25">
      <c r="A306" s="3" t="s">
        <v>1371</v>
      </c>
      <c r="B306" s="10" t="s">
        <v>1351</v>
      </c>
      <c r="C306" s="3" t="str">
        <f>("626102")</f>
        <v>626102</v>
      </c>
      <c r="D306" s="11" t="str">
        <f>("622454868335")</f>
        <v>622454868335</v>
      </c>
      <c r="E306" s="3">
        <v>192508</v>
      </c>
      <c r="F306" s="8" t="s">
        <v>328</v>
      </c>
      <c r="G306" s="14">
        <v>1049.0678172956195</v>
      </c>
      <c r="H306" s="35">
        <v>45689</v>
      </c>
      <c r="I306" s="3">
        <v>6.625</v>
      </c>
      <c r="J306" s="3" t="s">
        <v>3</v>
      </c>
      <c r="K306" s="11" t="str">
        <f>("10622454868332")</f>
        <v>10622454868332</v>
      </c>
      <c r="L306" s="3">
        <v>34</v>
      </c>
      <c r="M306" s="3"/>
    </row>
    <row r="307" spans="1:13" x14ac:dyDescent="0.25">
      <c r="A307" s="3" t="s">
        <v>1371</v>
      </c>
      <c r="B307" s="10" t="s">
        <v>1351</v>
      </c>
      <c r="C307" s="3" t="str">
        <f>("626170")</f>
        <v>626170</v>
      </c>
      <c r="D307" s="11" t="str">
        <f>("622454868380")</f>
        <v>622454868380</v>
      </c>
      <c r="E307" s="3">
        <v>192505</v>
      </c>
      <c r="F307" s="8" t="s">
        <v>329</v>
      </c>
      <c r="G307" s="14">
        <v>1574.290417557432</v>
      </c>
      <c r="H307" s="35">
        <v>45689</v>
      </c>
      <c r="I307" s="3">
        <v>15.061999999999999</v>
      </c>
      <c r="J307" s="3" t="s">
        <v>149</v>
      </c>
      <c r="K307" s="11" t="str">
        <f>("10622454868387")</f>
        <v>10622454868387</v>
      </c>
      <c r="L307" s="3">
        <v>15</v>
      </c>
      <c r="M307" s="3"/>
    </row>
    <row r="308" spans="1:13" x14ac:dyDescent="0.25">
      <c r="A308" s="3" t="s">
        <v>1371</v>
      </c>
      <c r="B308" s="10" t="s">
        <v>1351</v>
      </c>
      <c r="C308" s="3" t="str">
        <f>("626188")</f>
        <v>626188</v>
      </c>
      <c r="D308" s="11" t="str">
        <f>("622454868397")</f>
        <v>622454868397</v>
      </c>
      <c r="E308" s="3"/>
      <c r="F308" s="8" t="s">
        <v>330</v>
      </c>
      <c r="G308" s="14">
        <v>2382.8729844486083</v>
      </c>
      <c r="H308" s="35">
        <v>45689</v>
      </c>
      <c r="I308" s="3">
        <v>22.648</v>
      </c>
      <c r="J308" s="3" t="s">
        <v>149</v>
      </c>
      <c r="K308" s="11" t="str">
        <f>("10622454868394")</f>
        <v>10622454868394</v>
      </c>
      <c r="L308" s="3">
        <v>8</v>
      </c>
      <c r="M308" s="3"/>
    </row>
    <row r="309" spans="1:13" x14ac:dyDescent="0.25">
      <c r="A309" s="3" t="s">
        <v>1371</v>
      </c>
      <c r="B309" s="10" t="s">
        <v>1351</v>
      </c>
      <c r="C309" s="3" t="str">
        <f>("294602")</f>
        <v>294602</v>
      </c>
      <c r="D309" s="11" t="str">
        <f>("622454605268")</f>
        <v>622454605268</v>
      </c>
      <c r="E309" s="3"/>
      <c r="F309" s="8" t="s">
        <v>331</v>
      </c>
      <c r="G309" s="14">
        <v>926.8812284288183</v>
      </c>
      <c r="H309" s="35">
        <v>45689</v>
      </c>
      <c r="I309" s="3">
        <v>12.625999999999999</v>
      </c>
      <c r="J309" s="3" t="s">
        <v>10</v>
      </c>
      <c r="K309" s="11" t="str">
        <f>("20622454605262")</f>
        <v>20622454605262</v>
      </c>
      <c r="L309" s="3">
        <v>16</v>
      </c>
      <c r="M309" s="3"/>
    </row>
    <row r="310" spans="1:13" x14ac:dyDescent="0.25">
      <c r="A310" s="3" t="s">
        <v>1371</v>
      </c>
      <c r="B310" s="10" t="s">
        <v>1351</v>
      </c>
      <c r="C310" s="3" t="str">
        <f>("294608")</f>
        <v>294608</v>
      </c>
      <c r="D310" s="11" t="str">
        <f>("622454605329")</f>
        <v>622454605329</v>
      </c>
      <c r="E310" s="3"/>
      <c r="F310" s="8" t="s">
        <v>332</v>
      </c>
      <c r="G310" s="14">
        <v>1301.7493105831934</v>
      </c>
      <c r="H310" s="35">
        <v>45689</v>
      </c>
      <c r="I310" s="3">
        <v>16.962</v>
      </c>
      <c r="J310" s="3" t="s">
        <v>10</v>
      </c>
      <c r="K310" s="11" t="str">
        <f>("10622454605326")</f>
        <v>10622454605326</v>
      </c>
      <c r="L310" s="3">
        <v>12</v>
      </c>
      <c r="M310" s="3"/>
    </row>
    <row r="311" spans="1:13" x14ac:dyDescent="0.25">
      <c r="A311" s="3" t="s">
        <v>1371</v>
      </c>
      <c r="B311" s="10" t="s">
        <v>1351</v>
      </c>
      <c r="C311" s="3" t="str">
        <f>("294612")</f>
        <v>294612</v>
      </c>
      <c r="D311" s="11" t="str">
        <f>("622454605367")</f>
        <v>622454605367</v>
      </c>
      <c r="E311" s="3"/>
      <c r="F311" s="8" t="s">
        <v>333</v>
      </c>
      <c r="G311" s="14">
        <v>2257.043613454267</v>
      </c>
      <c r="H311" s="35">
        <v>45689</v>
      </c>
      <c r="I311" s="3">
        <v>24.105</v>
      </c>
      <c r="J311" s="3" t="s">
        <v>10</v>
      </c>
      <c r="K311" s="11" t="str">
        <f>("10622454605364")</f>
        <v>10622454605364</v>
      </c>
      <c r="L311" s="3">
        <v>6</v>
      </c>
      <c r="M311" s="3"/>
    </row>
    <row r="312" spans="1:13" x14ac:dyDescent="0.25">
      <c r="A312" s="3" t="s">
        <v>1371</v>
      </c>
      <c r="B312" s="10" t="s">
        <v>1351</v>
      </c>
      <c r="C312" s="3" t="str">
        <f>("294616")</f>
        <v>294616</v>
      </c>
      <c r="D312" s="11" t="str">
        <f>("622454605404")</f>
        <v>622454605404</v>
      </c>
      <c r="E312" s="3"/>
      <c r="F312" s="8" t="s">
        <v>334</v>
      </c>
      <c r="G312" s="14">
        <v>2786.8552015606278</v>
      </c>
      <c r="H312" s="35">
        <v>45689</v>
      </c>
      <c r="I312" s="3">
        <v>39.402999999999999</v>
      </c>
      <c r="J312" s="3" t="s">
        <v>10</v>
      </c>
      <c r="K312" s="11" t="str">
        <f>("10622454605401")</f>
        <v>10622454605401</v>
      </c>
      <c r="L312" s="3">
        <v>4</v>
      </c>
      <c r="M312" s="3"/>
    </row>
    <row r="313" spans="1:13" x14ac:dyDescent="0.25">
      <c r="A313" s="3" t="s">
        <v>1371</v>
      </c>
      <c r="B313" s="10" t="s">
        <v>1351</v>
      </c>
      <c r="C313" s="3" t="str">
        <f>("294620")</f>
        <v>294620</v>
      </c>
      <c r="D313" s="11" t="str">
        <f>("622454605442")</f>
        <v>622454605442</v>
      </c>
      <c r="E313" s="3"/>
      <c r="F313" s="8" t="s">
        <v>335</v>
      </c>
      <c r="G313" s="14">
        <v>3216.1140262187482</v>
      </c>
      <c r="H313" s="35">
        <v>45689</v>
      </c>
      <c r="I313" s="3">
        <v>57.231999999999999</v>
      </c>
      <c r="J313" s="3" t="s">
        <v>10</v>
      </c>
      <c r="K313" s="11" t="str">
        <f>("10622454605449")</f>
        <v>10622454605449</v>
      </c>
      <c r="L313" s="3">
        <v>2</v>
      </c>
      <c r="M313" s="3"/>
    </row>
    <row r="314" spans="1:13" x14ac:dyDescent="0.25">
      <c r="A314" s="3" t="s">
        <v>1371</v>
      </c>
      <c r="B314" s="10" t="s">
        <v>1351</v>
      </c>
      <c r="C314" s="3" t="str">
        <f>("294624")</f>
        <v>294624</v>
      </c>
      <c r="D314" s="11" t="str">
        <f>("622454605480")</f>
        <v>622454605480</v>
      </c>
      <c r="E314" s="3"/>
      <c r="F314" s="8" t="s">
        <v>336</v>
      </c>
      <c r="G314" s="14">
        <v>4391.2222050021774</v>
      </c>
      <c r="H314" s="35">
        <v>45689</v>
      </c>
      <c r="I314" s="3">
        <v>66.989999999999995</v>
      </c>
      <c r="J314" s="3" t="s">
        <v>10</v>
      </c>
      <c r="K314" s="11" t="str">
        <f>("10622454605487")</f>
        <v>10622454605487</v>
      </c>
      <c r="L314" s="3">
        <v>2</v>
      </c>
      <c r="M314" s="3"/>
    </row>
    <row r="315" spans="1:13" x14ac:dyDescent="0.25">
      <c r="A315" s="3" t="s">
        <v>1371</v>
      </c>
      <c r="B315" s="10" t="s">
        <v>1351</v>
      </c>
      <c r="C315" s="3" t="str">
        <f>("294628")</f>
        <v>294628</v>
      </c>
      <c r="D315" s="11" t="str">
        <f>("622454605527")</f>
        <v>622454605527</v>
      </c>
      <c r="E315" s="3"/>
      <c r="F315" s="8" t="s">
        <v>337</v>
      </c>
      <c r="G315" s="14">
        <v>5834.9261875066113</v>
      </c>
      <c r="H315" s="35">
        <v>45689</v>
      </c>
      <c r="I315" s="3">
        <v>106.181</v>
      </c>
      <c r="J315" s="3" t="s">
        <v>10</v>
      </c>
      <c r="K315" s="11" t="str">
        <f>("10622454605524")</f>
        <v>10622454605524</v>
      </c>
      <c r="L315" s="3">
        <v>2</v>
      </c>
      <c r="M315" s="3">
        <v>2</v>
      </c>
    </row>
    <row r="316" spans="1:13" x14ac:dyDescent="0.25">
      <c r="A316" s="3" t="s">
        <v>1371</v>
      </c>
      <c r="B316" s="10" t="s">
        <v>1351</v>
      </c>
      <c r="C316" s="3" t="str">
        <f>("755164")</f>
        <v>755164</v>
      </c>
      <c r="D316" s="11" t="str">
        <f>("662671190864")</f>
        <v>662671190864</v>
      </c>
      <c r="E316" s="3">
        <v>192506</v>
      </c>
      <c r="F316" s="8" t="s">
        <v>338</v>
      </c>
      <c r="G316" s="14">
        <v>801.30001939842668</v>
      </c>
      <c r="H316" s="35">
        <v>45689</v>
      </c>
      <c r="I316" s="3">
        <v>3.444</v>
      </c>
      <c r="J316" s="3" t="s">
        <v>3</v>
      </c>
      <c r="K316" s="11" t="str">
        <f>("10662671190861")</f>
        <v>10662671190861</v>
      </c>
      <c r="L316" s="3">
        <v>8</v>
      </c>
      <c r="M316" s="3">
        <v>144</v>
      </c>
    </row>
    <row r="317" spans="1:13" x14ac:dyDescent="0.25">
      <c r="A317" s="3" t="s">
        <v>1371</v>
      </c>
      <c r="B317" s="10" t="s">
        <v>1351</v>
      </c>
      <c r="C317" s="3" t="str">
        <f>("755140")</f>
        <v>755140</v>
      </c>
      <c r="D317" s="11" t="str">
        <f>("662671190215")</f>
        <v>662671190215</v>
      </c>
      <c r="E317" s="3">
        <v>192401</v>
      </c>
      <c r="F317" s="8" t="s">
        <v>339</v>
      </c>
      <c r="G317" s="14">
        <v>26.815013906905385</v>
      </c>
      <c r="H317" s="35">
        <v>45689</v>
      </c>
      <c r="I317" s="3">
        <v>0.187</v>
      </c>
      <c r="J317" s="3" t="s">
        <v>3</v>
      </c>
      <c r="K317" s="11" t="str">
        <f>("10662671190212")</f>
        <v>10662671190212</v>
      </c>
      <c r="L317" s="3">
        <v>50</v>
      </c>
      <c r="M317" s="3">
        <v>3600</v>
      </c>
    </row>
    <row r="318" spans="1:13" x14ac:dyDescent="0.25">
      <c r="A318" s="3" t="s">
        <v>1371</v>
      </c>
      <c r="B318" s="10" t="s">
        <v>1351</v>
      </c>
      <c r="C318" s="3" t="str">
        <f>("755141")</f>
        <v>755141</v>
      </c>
      <c r="D318" s="11" t="str">
        <f>("662671191403")</f>
        <v>662671191403</v>
      </c>
      <c r="E318" s="3">
        <v>192402</v>
      </c>
      <c r="F318" s="8" t="s">
        <v>340</v>
      </c>
      <c r="G318" s="14">
        <v>42.537696924451538</v>
      </c>
      <c r="H318" s="35">
        <v>45689</v>
      </c>
      <c r="I318" s="3">
        <v>0.29499999999999998</v>
      </c>
      <c r="J318" s="3" t="s">
        <v>3</v>
      </c>
      <c r="K318" s="11" t="str">
        <f>("10662671191400")</f>
        <v>10662671191400</v>
      </c>
      <c r="L318" s="3">
        <v>45</v>
      </c>
      <c r="M318" s="3">
        <v>2160</v>
      </c>
    </row>
    <row r="319" spans="1:13" x14ac:dyDescent="0.25">
      <c r="A319" s="3" t="s">
        <v>1371</v>
      </c>
      <c r="B319" s="10" t="s">
        <v>1351</v>
      </c>
      <c r="C319" s="3" t="str">
        <f>("755142")</f>
        <v>755142</v>
      </c>
      <c r="D319" s="11" t="str">
        <f>("662671191342")</f>
        <v>662671191342</v>
      </c>
      <c r="E319" s="3">
        <v>192403</v>
      </c>
      <c r="F319" s="8" t="s">
        <v>341</v>
      </c>
      <c r="G319" s="14">
        <v>112.25673308240552</v>
      </c>
      <c r="H319" s="35">
        <v>45689</v>
      </c>
      <c r="I319" s="3">
        <v>0.86599999999999999</v>
      </c>
      <c r="J319" s="3" t="s">
        <v>3</v>
      </c>
      <c r="K319" s="11" t="str">
        <f>("10662671191349")</f>
        <v>10662671191349</v>
      </c>
      <c r="L319" s="3">
        <v>20</v>
      </c>
      <c r="M319" s="3">
        <v>640</v>
      </c>
    </row>
    <row r="320" spans="1:13" x14ac:dyDescent="0.25">
      <c r="A320" s="3" t="s">
        <v>1371</v>
      </c>
      <c r="B320" s="10" t="s">
        <v>1351</v>
      </c>
      <c r="C320" s="3" t="str">
        <f>("755143")</f>
        <v>755143</v>
      </c>
      <c r="D320" s="11" t="str">
        <f>("662671191618")</f>
        <v>662671191618</v>
      </c>
      <c r="E320" s="3">
        <v>192404</v>
      </c>
      <c r="F320" s="8" t="s">
        <v>342</v>
      </c>
      <c r="G320" s="14">
        <v>192.42336755490788</v>
      </c>
      <c r="H320" s="35">
        <v>45689</v>
      </c>
      <c r="I320" s="3">
        <v>1.462</v>
      </c>
      <c r="J320" s="3" t="s">
        <v>3</v>
      </c>
      <c r="K320" s="11" t="str">
        <f>("10662671191615")</f>
        <v>10662671191615</v>
      </c>
      <c r="L320" s="3">
        <v>10</v>
      </c>
      <c r="M320" s="3">
        <v>320</v>
      </c>
    </row>
    <row r="321" spans="1:13" x14ac:dyDescent="0.25">
      <c r="A321" s="3" t="s">
        <v>1371</v>
      </c>
      <c r="B321" s="10" t="s">
        <v>1351</v>
      </c>
      <c r="C321" s="3" t="str">
        <f>("626100")</f>
        <v>626100</v>
      </c>
      <c r="D321" s="11" t="str">
        <f>("622454868489")</f>
        <v>622454868489</v>
      </c>
      <c r="E321" s="3">
        <v>192408</v>
      </c>
      <c r="F321" s="8" t="s">
        <v>343</v>
      </c>
      <c r="G321" s="14">
        <v>1138.6123801290066</v>
      </c>
      <c r="H321" s="35">
        <v>45689</v>
      </c>
      <c r="I321" s="3">
        <v>6.367</v>
      </c>
      <c r="J321" s="3" t="s">
        <v>3</v>
      </c>
      <c r="K321" s="11" t="str">
        <f>("10622454868486")</f>
        <v>10622454868486</v>
      </c>
      <c r="L321" s="3">
        <v>36</v>
      </c>
      <c r="M321" s="3"/>
    </row>
    <row r="322" spans="1:13" x14ac:dyDescent="0.25">
      <c r="A322" s="3" t="s">
        <v>1371</v>
      </c>
      <c r="B322" s="10" t="s">
        <v>1351</v>
      </c>
      <c r="C322" s="3" t="str">
        <f>("226094")</f>
        <v>226094</v>
      </c>
      <c r="D322" s="11" t="str">
        <f>("622454875371")</f>
        <v>622454875371</v>
      </c>
      <c r="E322" s="3">
        <v>192405</v>
      </c>
      <c r="F322" s="8" t="s">
        <v>344</v>
      </c>
      <c r="G322" s="14">
        <v>1572.2389957284884</v>
      </c>
      <c r="H322" s="35">
        <v>45689</v>
      </c>
      <c r="I322" s="3">
        <v>11.000999999999999</v>
      </c>
      <c r="J322" s="3" t="s">
        <v>149</v>
      </c>
      <c r="K322" s="11" t="str">
        <f>("00622454875371")</f>
        <v>00622454875371</v>
      </c>
      <c r="L322" s="3">
        <v>1</v>
      </c>
      <c r="M322" s="3"/>
    </row>
    <row r="323" spans="1:13" x14ac:dyDescent="0.25">
      <c r="A323" s="3" t="s">
        <v>1371</v>
      </c>
      <c r="B323" s="10" t="s">
        <v>1351</v>
      </c>
      <c r="C323" s="3" t="str">
        <f>("226114")</f>
        <v>226114</v>
      </c>
      <c r="D323" s="11" t="str">
        <f>("622454876101")</f>
        <v>622454876101</v>
      </c>
      <c r="E323" s="3">
        <v>192407</v>
      </c>
      <c r="F323" s="8" t="s">
        <v>330</v>
      </c>
      <c r="G323" s="14">
        <v>2409.2337549505332</v>
      </c>
      <c r="H323" s="35">
        <v>45689</v>
      </c>
      <c r="I323" s="3">
        <v>16.376000000000001</v>
      </c>
      <c r="J323" s="3" t="s">
        <v>149</v>
      </c>
      <c r="K323" s="11" t="str">
        <f>("00622454876101")</f>
        <v>00622454876101</v>
      </c>
      <c r="L323" s="3">
        <v>1</v>
      </c>
      <c r="M323" s="3"/>
    </row>
    <row r="324" spans="1:13" x14ac:dyDescent="0.25">
      <c r="A324" s="3" t="s">
        <v>1371</v>
      </c>
      <c r="B324" s="10" t="s">
        <v>1351</v>
      </c>
      <c r="C324" s="3" t="str">
        <f>("294605")</f>
        <v>294605</v>
      </c>
      <c r="D324" s="11" t="str">
        <f>("622454605299")</f>
        <v>622454605299</v>
      </c>
      <c r="E324" s="3"/>
      <c r="F324" s="8" t="s">
        <v>345</v>
      </c>
      <c r="G324" s="14">
        <v>926.8812284288183</v>
      </c>
      <c r="H324" s="35">
        <v>45689</v>
      </c>
      <c r="I324" s="3">
        <v>12.723000000000001</v>
      </c>
      <c r="J324" s="3" t="s">
        <v>10</v>
      </c>
      <c r="K324" s="11" t="str">
        <f>("10622454605296")</f>
        <v>10622454605296</v>
      </c>
      <c r="L324" s="3">
        <v>2</v>
      </c>
      <c r="M324" s="3">
        <v>20</v>
      </c>
    </row>
    <row r="325" spans="1:13" x14ac:dyDescent="0.25">
      <c r="A325" s="3" t="s">
        <v>1371</v>
      </c>
      <c r="B325" s="10" t="s">
        <v>1351</v>
      </c>
      <c r="C325" s="3" t="str">
        <f>("294610")</f>
        <v>294610</v>
      </c>
      <c r="D325" s="11" t="str">
        <f>("622454605343")</f>
        <v>622454605343</v>
      </c>
      <c r="E325" s="3"/>
      <c r="F325" s="8" t="s">
        <v>346</v>
      </c>
      <c r="G325" s="14">
        <v>1301.7493105831934</v>
      </c>
      <c r="H325" s="35">
        <v>45689</v>
      </c>
      <c r="I325" s="3">
        <v>18.745999999999999</v>
      </c>
      <c r="J325" s="3" t="s">
        <v>10</v>
      </c>
      <c r="K325" s="11" t="str">
        <f>("10622454605340")</f>
        <v>10622454605340</v>
      </c>
      <c r="L325" s="3">
        <v>12</v>
      </c>
      <c r="M325" s="3"/>
    </row>
    <row r="326" spans="1:13" x14ac:dyDescent="0.25">
      <c r="A326" s="3" t="s">
        <v>1371</v>
      </c>
      <c r="B326" s="10" t="s">
        <v>1351</v>
      </c>
      <c r="C326" s="3" t="str">
        <f>("294614")</f>
        <v>294614</v>
      </c>
      <c r="D326" s="11" t="str">
        <f>("622454605381")</f>
        <v>622454605381</v>
      </c>
      <c r="E326" s="3"/>
      <c r="F326" s="8" t="s">
        <v>347</v>
      </c>
      <c r="G326" s="14">
        <v>2257.043613454267</v>
      </c>
      <c r="H326" s="35">
        <v>45689</v>
      </c>
      <c r="I326" s="3">
        <v>40.174999999999997</v>
      </c>
      <c r="J326" s="3" t="s">
        <v>10</v>
      </c>
      <c r="K326" s="11" t="str">
        <f>("00622454605381")</f>
        <v>00622454605381</v>
      </c>
      <c r="L326" s="3">
        <v>1</v>
      </c>
      <c r="M326" s="3"/>
    </row>
    <row r="327" spans="1:13" x14ac:dyDescent="0.25">
      <c r="A327" s="3" t="s">
        <v>1371</v>
      </c>
      <c r="B327" s="10" t="s">
        <v>1351</v>
      </c>
      <c r="C327" s="3" t="str">
        <f>("294618")</f>
        <v>294618</v>
      </c>
      <c r="D327" s="11" t="str">
        <f>("622454605428")</f>
        <v>622454605428</v>
      </c>
      <c r="E327" s="3"/>
      <c r="F327" s="8" t="s">
        <v>348</v>
      </c>
      <c r="G327" s="14">
        <v>2786.8552015606278</v>
      </c>
      <c r="H327" s="35">
        <v>45689</v>
      </c>
      <c r="I327" s="3">
        <v>56.03</v>
      </c>
      <c r="J327" s="3" t="s">
        <v>10</v>
      </c>
      <c r="K327" s="11" t="str">
        <f>("10622454605425")</f>
        <v>10622454605425</v>
      </c>
      <c r="L327" s="3">
        <v>3</v>
      </c>
      <c r="M327" s="3"/>
    </row>
    <row r="328" spans="1:13" x14ac:dyDescent="0.25">
      <c r="A328" s="3" t="s">
        <v>1371</v>
      </c>
      <c r="B328" s="10" t="s">
        <v>1351</v>
      </c>
      <c r="C328" s="3" t="str">
        <f>("294622")</f>
        <v>294622</v>
      </c>
      <c r="D328" s="11" t="str">
        <f>("622454605466")</f>
        <v>622454605466</v>
      </c>
      <c r="E328" s="3"/>
      <c r="F328" s="8" t="s">
        <v>349</v>
      </c>
      <c r="G328" s="14">
        <v>3216.1140262187482</v>
      </c>
      <c r="H328" s="35">
        <v>45689</v>
      </c>
      <c r="I328" s="3">
        <v>100.054</v>
      </c>
      <c r="J328" s="3" t="s">
        <v>10</v>
      </c>
      <c r="K328" s="11" t="str">
        <f>("00622454605466")</f>
        <v>00622454605466</v>
      </c>
      <c r="L328" s="3">
        <v>1</v>
      </c>
      <c r="M328" s="3"/>
    </row>
    <row r="329" spans="1:13" x14ac:dyDescent="0.25">
      <c r="A329" s="3" t="s">
        <v>1371</v>
      </c>
      <c r="B329" s="10" t="s">
        <v>1351</v>
      </c>
      <c r="C329" s="3" t="str">
        <f>("294626")</f>
        <v>294626</v>
      </c>
      <c r="D329" s="11" t="str">
        <f>("622454605503")</f>
        <v>622454605503</v>
      </c>
      <c r="E329" s="3"/>
      <c r="F329" s="8" t="s">
        <v>350</v>
      </c>
      <c r="G329" s="14">
        <v>4391.2222050021774</v>
      </c>
      <c r="H329" s="35">
        <v>45689</v>
      </c>
      <c r="I329" s="3">
        <v>117.235</v>
      </c>
      <c r="J329" s="3" t="s">
        <v>10</v>
      </c>
      <c r="K329" s="11" t="str">
        <f>("00622454605503")</f>
        <v>00622454605503</v>
      </c>
      <c r="L329" s="3">
        <v>1</v>
      </c>
      <c r="M329" s="3"/>
    </row>
    <row r="330" spans="1:13" x14ac:dyDescent="0.25">
      <c r="A330" s="3" t="s">
        <v>1371</v>
      </c>
      <c r="B330" s="10" t="s">
        <v>1351</v>
      </c>
      <c r="C330" s="3" t="str">
        <f>("294630")</f>
        <v>294630</v>
      </c>
      <c r="D330" s="11" t="str">
        <f>("622454605541")</f>
        <v>622454605541</v>
      </c>
      <c r="E330" s="3"/>
      <c r="F330" s="8" t="s">
        <v>351</v>
      </c>
      <c r="G330" s="14">
        <v>5834.9261875066113</v>
      </c>
      <c r="H330" s="35">
        <v>45689</v>
      </c>
      <c r="I330" s="3">
        <v>167.58199999999999</v>
      </c>
      <c r="J330" s="3" t="s">
        <v>10</v>
      </c>
      <c r="K330" s="11" t="str">
        <f>("00622454605541")</f>
        <v>00622454605541</v>
      </c>
      <c r="L330" s="3">
        <v>1</v>
      </c>
      <c r="M330" s="3"/>
    </row>
    <row r="331" spans="1:13" x14ac:dyDescent="0.25">
      <c r="A331" s="3" t="s">
        <v>1371</v>
      </c>
      <c r="B331" s="10" t="s">
        <v>1351</v>
      </c>
      <c r="C331" s="3" t="str">
        <f>("755144")</f>
        <v>755144</v>
      </c>
      <c r="D331" s="11" t="str">
        <f>("662671190826")</f>
        <v>662671190826</v>
      </c>
      <c r="E331" s="3">
        <v>192406</v>
      </c>
      <c r="F331" s="8" t="s">
        <v>352</v>
      </c>
      <c r="G331" s="14">
        <v>949.06100313462002</v>
      </c>
      <c r="H331" s="35">
        <v>45689</v>
      </c>
      <c r="I331" s="3">
        <v>3.444</v>
      </c>
      <c r="J331" s="3" t="s">
        <v>3</v>
      </c>
      <c r="K331" s="11" t="str">
        <f>("10662671190823")</f>
        <v>10662671190823</v>
      </c>
      <c r="L331" s="3">
        <v>8</v>
      </c>
      <c r="M331" s="3">
        <v>144</v>
      </c>
    </row>
    <row r="332" spans="1:13" x14ac:dyDescent="0.25">
      <c r="A332" s="3" t="s">
        <v>1371</v>
      </c>
      <c r="B332" s="10" t="s">
        <v>1351</v>
      </c>
      <c r="C332" s="3" t="str">
        <f>("755195")</f>
        <v>755195</v>
      </c>
      <c r="D332" s="11" t="str">
        <f>("662671191892")</f>
        <v>662671191892</v>
      </c>
      <c r="E332" s="3">
        <v>192601</v>
      </c>
      <c r="F332" s="8" t="s">
        <v>353</v>
      </c>
      <c r="G332" s="14">
        <v>66.392802192452606</v>
      </c>
      <c r="H332" s="35">
        <v>45689</v>
      </c>
      <c r="I332" s="3">
        <v>0.161</v>
      </c>
      <c r="J332" s="3" t="s">
        <v>3</v>
      </c>
      <c r="K332" s="11" t="str">
        <f>("10662671191899")</f>
        <v>10662671191899</v>
      </c>
      <c r="L332" s="3">
        <v>50</v>
      </c>
      <c r="M332" s="3">
        <v>3600</v>
      </c>
    </row>
    <row r="333" spans="1:13" x14ac:dyDescent="0.25">
      <c r="A333" s="3" t="s">
        <v>1371</v>
      </c>
      <c r="B333" s="10" t="s">
        <v>1351</v>
      </c>
      <c r="C333" s="3" t="str">
        <f>("755198")</f>
        <v>755198</v>
      </c>
      <c r="D333" s="11" t="str">
        <f>("662671192080")</f>
        <v>662671192080</v>
      </c>
      <c r="E333" s="3">
        <v>192604</v>
      </c>
      <c r="F333" s="8" t="s">
        <v>354</v>
      </c>
      <c r="G333" s="14">
        <v>380.34826009920374</v>
      </c>
      <c r="H333" s="35">
        <v>45689</v>
      </c>
      <c r="I333" s="3">
        <v>1.4</v>
      </c>
      <c r="J333" s="3" t="s">
        <v>3</v>
      </c>
      <c r="K333" s="11" t="str">
        <f>("10662671192087")</f>
        <v>10662671192087</v>
      </c>
      <c r="L333" s="3">
        <v>10</v>
      </c>
      <c r="M333" s="3">
        <v>320</v>
      </c>
    </row>
    <row r="334" spans="1:13" x14ac:dyDescent="0.25">
      <c r="A334" s="3" t="s">
        <v>1371</v>
      </c>
      <c r="B334" s="10" t="s">
        <v>1351</v>
      </c>
      <c r="C334" s="3" t="str">
        <f>("755196")</f>
        <v>755196</v>
      </c>
      <c r="D334" s="11" t="str">
        <f>("662671192141")</f>
        <v>662671192141</v>
      </c>
      <c r="E334" s="3" t="s">
        <v>355</v>
      </c>
      <c r="F334" s="8" t="s">
        <v>356</v>
      </c>
      <c r="G334" s="14">
        <v>77.250684872789705</v>
      </c>
      <c r="H334" s="35">
        <v>45689</v>
      </c>
      <c r="I334" s="3">
        <v>0.24299999999999999</v>
      </c>
      <c r="J334" s="3" t="s">
        <v>3</v>
      </c>
      <c r="K334" s="11" t="str">
        <f>("10662671192148")</f>
        <v>10662671192148</v>
      </c>
      <c r="L334" s="3">
        <v>30</v>
      </c>
      <c r="M334" s="3">
        <v>2160</v>
      </c>
    </row>
    <row r="335" spans="1:13" x14ac:dyDescent="0.25">
      <c r="A335" s="3" t="s">
        <v>1371</v>
      </c>
      <c r="B335" s="10" t="s">
        <v>1351</v>
      </c>
      <c r="C335" s="3" t="str">
        <f>("755197")</f>
        <v>755197</v>
      </c>
      <c r="D335" s="11" t="str">
        <f>("662671192257")</f>
        <v>662671192257</v>
      </c>
      <c r="E335" s="3" t="s">
        <v>357</v>
      </c>
      <c r="F335" s="8" t="s">
        <v>358</v>
      </c>
      <c r="G335" s="14">
        <v>285.38208243217991</v>
      </c>
      <c r="H335" s="35">
        <v>45689</v>
      </c>
      <c r="I335" s="3">
        <v>0.83299999999999996</v>
      </c>
      <c r="J335" s="3" t="s">
        <v>3</v>
      </c>
      <c r="K335" s="11" t="str">
        <f>("10662671192254")</f>
        <v>10662671192254</v>
      </c>
      <c r="L335" s="3">
        <v>20</v>
      </c>
      <c r="M335" s="3">
        <v>640</v>
      </c>
    </row>
    <row r="336" spans="1:13" x14ac:dyDescent="0.25">
      <c r="A336" s="3" t="s">
        <v>1371</v>
      </c>
      <c r="B336" s="10" t="s">
        <v>1351</v>
      </c>
      <c r="C336" s="3" t="str">
        <f>("755075")</f>
        <v>755075</v>
      </c>
      <c r="D336" s="11" t="str">
        <f>("662671192899")</f>
        <v>662671192899</v>
      </c>
      <c r="E336" s="3">
        <v>192221</v>
      </c>
      <c r="F336" s="8" t="s">
        <v>359</v>
      </c>
      <c r="G336" s="14">
        <v>163.93791015871986</v>
      </c>
      <c r="H336" s="35">
        <v>45689</v>
      </c>
      <c r="I336" s="3">
        <v>0.29799999999999999</v>
      </c>
      <c r="J336" s="3" t="s">
        <v>3</v>
      </c>
      <c r="K336" s="11" t="str">
        <f>("10662671192896")</f>
        <v>10662671192896</v>
      </c>
      <c r="L336" s="3">
        <v>50</v>
      </c>
      <c r="M336" s="3">
        <v>2400</v>
      </c>
    </row>
    <row r="337" spans="1:13" x14ac:dyDescent="0.25">
      <c r="A337" s="3" t="s">
        <v>1371</v>
      </c>
      <c r="B337" s="10" t="s">
        <v>1351</v>
      </c>
      <c r="C337" s="3" t="str">
        <f>("755086")</f>
        <v>755086</v>
      </c>
      <c r="D337" s="11" t="str">
        <f>("662671191397")</f>
        <v>662671191397</v>
      </c>
      <c r="E337" s="3" t="s">
        <v>360</v>
      </c>
      <c r="F337" s="8" t="s">
        <v>361</v>
      </c>
      <c r="G337" s="14">
        <v>28.514763422315774</v>
      </c>
      <c r="H337" s="35">
        <v>45689</v>
      </c>
      <c r="I337" s="3">
        <v>0.22700000000000001</v>
      </c>
      <c r="J337" s="3" t="s">
        <v>3</v>
      </c>
      <c r="K337" s="11" t="str">
        <f>("10662671191394")</f>
        <v>10662671191394</v>
      </c>
      <c r="L337" s="3">
        <v>110</v>
      </c>
      <c r="M337" s="3">
        <v>3520</v>
      </c>
    </row>
    <row r="338" spans="1:13" x14ac:dyDescent="0.25">
      <c r="A338" s="3" t="s">
        <v>1371</v>
      </c>
      <c r="B338" s="10" t="s">
        <v>1351</v>
      </c>
      <c r="C338" s="3" t="str">
        <f>("755087")</f>
        <v>755087</v>
      </c>
      <c r="D338" s="11" t="str">
        <f>("662671190116")</f>
        <v>662671190116</v>
      </c>
      <c r="E338" s="3" t="s">
        <v>362</v>
      </c>
      <c r="F338" s="8" t="s">
        <v>363</v>
      </c>
      <c r="G338" s="14">
        <v>45.01405613224771</v>
      </c>
      <c r="H338" s="35">
        <v>45689</v>
      </c>
      <c r="I338" s="3">
        <v>0.37</v>
      </c>
      <c r="J338" s="3" t="s">
        <v>3</v>
      </c>
      <c r="K338" s="11" t="str">
        <f>("10662671190113")</f>
        <v>10662671190113</v>
      </c>
      <c r="L338" s="3">
        <v>50</v>
      </c>
      <c r="M338" s="3">
        <v>1600</v>
      </c>
    </row>
    <row r="339" spans="1:13" x14ac:dyDescent="0.25">
      <c r="A339" s="3" t="s">
        <v>1371</v>
      </c>
      <c r="B339" s="10" t="s">
        <v>1351</v>
      </c>
      <c r="C339" s="3" t="str">
        <f>("755088")</f>
        <v>755088</v>
      </c>
      <c r="D339" s="11" t="str">
        <f>("662671190123")</f>
        <v>662671190123</v>
      </c>
      <c r="E339" s="3" t="s">
        <v>364</v>
      </c>
      <c r="F339" s="8" t="s">
        <v>365</v>
      </c>
      <c r="G339" s="14">
        <v>132.21413687541377</v>
      </c>
      <c r="H339" s="35">
        <v>45689</v>
      </c>
      <c r="I339" s="3">
        <v>1.03</v>
      </c>
      <c r="J339" s="3" t="s">
        <v>3</v>
      </c>
      <c r="K339" s="11" t="str">
        <f>("10662671190120")</f>
        <v>10662671190120</v>
      </c>
      <c r="L339" s="3">
        <v>15</v>
      </c>
      <c r="M339" s="3">
        <v>480</v>
      </c>
    </row>
    <row r="340" spans="1:13" x14ac:dyDescent="0.25">
      <c r="A340" s="3" t="s">
        <v>1371</v>
      </c>
      <c r="B340" s="10" t="s">
        <v>1351</v>
      </c>
      <c r="C340" s="3" t="str">
        <f>("755089")</f>
        <v>755089</v>
      </c>
      <c r="D340" s="11" t="str">
        <f>("662671192011")</f>
        <v>662671192011</v>
      </c>
      <c r="E340" s="3" t="s">
        <v>366</v>
      </c>
      <c r="F340" s="8" t="s">
        <v>367</v>
      </c>
      <c r="G340" s="14">
        <v>261.13134581145397</v>
      </c>
      <c r="H340" s="35">
        <v>45689</v>
      </c>
      <c r="I340" s="3">
        <v>1.8720000000000001</v>
      </c>
      <c r="J340" s="3" t="s">
        <v>3</v>
      </c>
      <c r="K340" s="11" t="str">
        <f>("10662671192018")</f>
        <v>10662671192018</v>
      </c>
      <c r="L340" s="3">
        <v>15</v>
      </c>
      <c r="M340" s="3">
        <v>270</v>
      </c>
    </row>
    <row r="341" spans="1:13" x14ac:dyDescent="0.25">
      <c r="A341" s="3" t="s">
        <v>1371</v>
      </c>
      <c r="B341" s="10" t="s">
        <v>1351</v>
      </c>
      <c r="C341" s="3" t="str">
        <f>("755090")</f>
        <v>755090</v>
      </c>
      <c r="D341" s="11" t="str">
        <f>("662671190734")</f>
        <v>662671190734</v>
      </c>
      <c r="E341" s="3">
        <v>192256</v>
      </c>
      <c r="F341" s="8" t="s">
        <v>368</v>
      </c>
      <c r="G341" s="14">
        <v>914.30405614709014</v>
      </c>
      <c r="H341" s="35">
        <v>45689</v>
      </c>
      <c r="I341" s="3">
        <v>4.806</v>
      </c>
      <c r="J341" s="3" t="s">
        <v>3</v>
      </c>
      <c r="K341" s="11" t="str">
        <f>("10662671190731")</f>
        <v>10662671190731</v>
      </c>
      <c r="L341" s="3">
        <v>4</v>
      </c>
      <c r="M341" s="3">
        <v>72</v>
      </c>
    </row>
    <row r="342" spans="1:13" x14ac:dyDescent="0.25">
      <c r="A342" s="3" t="s">
        <v>1371</v>
      </c>
      <c r="B342" s="10" t="s">
        <v>1351</v>
      </c>
      <c r="C342" s="3" t="str">
        <f>("626091")</f>
        <v>626091</v>
      </c>
      <c r="D342" s="11" t="str">
        <f>("622454868434")</f>
        <v>622454868434</v>
      </c>
      <c r="E342" s="3">
        <v>192258</v>
      </c>
      <c r="F342" s="8" t="s">
        <v>369</v>
      </c>
      <c r="G342" s="14">
        <v>1181.3552192363529</v>
      </c>
      <c r="H342" s="35">
        <v>45689</v>
      </c>
      <c r="I342" s="3">
        <v>8.9529999999999994</v>
      </c>
      <c r="J342" s="3" t="s">
        <v>3</v>
      </c>
      <c r="K342" s="11" t="str">
        <f>("10622454868431")</f>
        <v>10622454868431</v>
      </c>
      <c r="L342" s="3">
        <v>23</v>
      </c>
      <c r="M342" s="3"/>
    </row>
    <row r="343" spans="1:13" x14ac:dyDescent="0.25">
      <c r="A343" s="3" t="s">
        <v>1371</v>
      </c>
      <c r="B343" s="10" t="s">
        <v>1351</v>
      </c>
      <c r="C343" s="3" t="str">
        <f>("626065")</f>
        <v>626065</v>
      </c>
      <c r="D343" s="11" t="str">
        <f>("622454868427")</f>
        <v>622454868427</v>
      </c>
      <c r="E343" s="3">
        <v>192255</v>
      </c>
      <c r="F343" s="8" t="s">
        <v>370</v>
      </c>
      <c r="G343" s="14">
        <v>2062.4555477806844</v>
      </c>
      <c r="H343" s="35">
        <v>45689</v>
      </c>
      <c r="I343" s="3">
        <v>20.157</v>
      </c>
      <c r="J343" s="3" t="s">
        <v>149</v>
      </c>
      <c r="K343" s="11" t="str">
        <f>("10622454868424")</f>
        <v>10622454868424</v>
      </c>
      <c r="L343" s="3">
        <v>10</v>
      </c>
      <c r="M343" s="3"/>
    </row>
    <row r="344" spans="1:13" x14ac:dyDescent="0.25">
      <c r="A344" s="3" t="s">
        <v>1371</v>
      </c>
      <c r="B344" s="10" t="s">
        <v>1351</v>
      </c>
      <c r="C344" s="3" t="str">
        <f>("626134")</f>
        <v>626134</v>
      </c>
      <c r="D344" s="11" t="str">
        <f>("622454868342")</f>
        <v>622454868342</v>
      </c>
      <c r="E344" s="3">
        <v>192257</v>
      </c>
      <c r="F344" s="8" t="s">
        <v>371</v>
      </c>
      <c r="G344" s="14">
        <v>3176.5387840407525</v>
      </c>
      <c r="H344" s="35">
        <v>45689</v>
      </c>
      <c r="I344" s="3">
        <v>31.231000000000002</v>
      </c>
      <c r="J344" s="3" t="s">
        <v>149</v>
      </c>
      <c r="K344" s="11" t="str">
        <f>("10622454868349")</f>
        <v>10622454868349</v>
      </c>
      <c r="L344" s="3">
        <v>8</v>
      </c>
      <c r="M344" s="3"/>
    </row>
    <row r="345" spans="1:13" x14ac:dyDescent="0.25">
      <c r="A345" s="3" t="s">
        <v>1371</v>
      </c>
      <c r="B345" s="10" t="s">
        <v>1351</v>
      </c>
      <c r="C345" s="3" t="str">
        <f>("294645")</f>
        <v>294645</v>
      </c>
      <c r="D345" s="11" t="str">
        <f>("622454605695")</f>
        <v>622454605695</v>
      </c>
      <c r="E345" s="3"/>
      <c r="F345" s="8" t="s">
        <v>372</v>
      </c>
      <c r="G345" s="14">
        <v>1113.448117234067</v>
      </c>
      <c r="H345" s="35">
        <v>45689</v>
      </c>
      <c r="I345" s="3">
        <v>19.224</v>
      </c>
      <c r="J345" s="3" t="s">
        <v>10</v>
      </c>
      <c r="K345" s="11" t="str">
        <f>("10622454605692")</f>
        <v>10622454605692</v>
      </c>
      <c r="L345" s="3">
        <v>8</v>
      </c>
      <c r="M345" s="3"/>
    </row>
    <row r="346" spans="1:13" x14ac:dyDescent="0.25">
      <c r="A346" s="3" t="s">
        <v>1371</v>
      </c>
      <c r="B346" s="10" t="s">
        <v>1351</v>
      </c>
      <c r="C346" s="3" t="str">
        <f>("294651")</f>
        <v>294651</v>
      </c>
      <c r="D346" s="11" t="str">
        <f>("622454605756")</f>
        <v>622454605756</v>
      </c>
      <c r="E346" s="3"/>
      <c r="F346" s="8" t="s">
        <v>373</v>
      </c>
      <c r="G346" s="14">
        <v>1712.7179873211269</v>
      </c>
      <c r="H346" s="35">
        <v>45689</v>
      </c>
      <c r="I346" s="3">
        <v>33.820999999999998</v>
      </c>
      <c r="J346" s="3" t="s">
        <v>10</v>
      </c>
      <c r="K346" s="11" t="str">
        <f>("30622454605757")</f>
        <v>30622454605757</v>
      </c>
      <c r="L346" s="3">
        <v>6</v>
      </c>
      <c r="M346" s="3"/>
    </row>
    <row r="347" spans="1:13" x14ac:dyDescent="0.25">
      <c r="A347" s="3" t="s">
        <v>1371</v>
      </c>
      <c r="B347" s="10" t="s">
        <v>1351</v>
      </c>
      <c r="C347" s="3" t="str">
        <f>("294655")</f>
        <v>294655</v>
      </c>
      <c r="D347" s="11" t="str">
        <f>("622454605794")</f>
        <v>622454605794</v>
      </c>
      <c r="E347" s="3"/>
      <c r="F347" s="8" t="s">
        <v>374</v>
      </c>
      <c r="G347" s="14">
        <v>2293.7469096169029</v>
      </c>
      <c r="H347" s="35">
        <v>45689</v>
      </c>
      <c r="I347" s="3">
        <v>61.600999999999999</v>
      </c>
      <c r="J347" s="3" t="s">
        <v>10</v>
      </c>
      <c r="K347" s="11" t="str">
        <f>("10622454605791")</f>
        <v>10622454605791</v>
      </c>
      <c r="L347" s="3">
        <v>2</v>
      </c>
      <c r="M347" s="3"/>
    </row>
    <row r="348" spans="1:13" x14ac:dyDescent="0.25">
      <c r="A348" s="3" t="s">
        <v>1371</v>
      </c>
      <c r="B348" s="10" t="s">
        <v>1351</v>
      </c>
      <c r="C348" s="3" t="str">
        <f>("294659")</f>
        <v>294659</v>
      </c>
      <c r="D348" s="11" t="str">
        <f>("622454605831")</f>
        <v>622454605831</v>
      </c>
      <c r="E348" s="3"/>
      <c r="F348" s="8" t="s">
        <v>375</v>
      </c>
      <c r="G348" s="14">
        <v>3401.5739121236497</v>
      </c>
      <c r="H348" s="35">
        <v>45689</v>
      </c>
      <c r="I348" s="3">
        <v>105.187</v>
      </c>
      <c r="J348" s="3" t="s">
        <v>10</v>
      </c>
      <c r="K348" s="11" t="str">
        <f>("10622454605838")</f>
        <v>10622454605838</v>
      </c>
      <c r="L348" s="3">
        <v>4</v>
      </c>
      <c r="M348" s="3">
        <v>4</v>
      </c>
    </row>
    <row r="349" spans="1:13" x14ac:dyDescent="0.25">
      <c r="A349" s="3" t="s">
        <v>1371</v>
      </c>
      <c r="B349" s="10" t="s">
        <v>1351</v>
      </c>
      <c r="C349" s="3" t="str">
        <f>("294663")</f>
        <v>294663</v>
      </c>
      <c r="D349" s="11" t="str">
        <f>("622454605879")</f>
        <v>622454605879</v>
      </c>
      <c r="E349" s="3"/>
      <c r="F349" s="8" t="s">
        <v>376</v>
      </c>
      <c r="G349" s="14">
        <v>5059.1385549430133</v>
      </c>
      <c r="H349" s="35">
        <v>45689</v>
      </c>
      <c r="I349" s="3">
        <v>143.15899999999999</v>
      </c>
      <c r="J349" s="3" t="s">
        <v>10</v>
      </c>
      <c r="K349" s="11" t="str">
        <f>("10622454605876")</f>
        <v>10622454605876</v>
      </c>
      <c r="L349" s="3">
        <v>2</v>
      </c>
      <c r="M349" s="3">
        <v>2</v>
      </c>
    </row>
    <row r="350" spans="1:13" x14ac:dyDescent="0.25">
      <c r="A350" s="3" t="s">
        <v>1371</v>
      </c>
      <c r="B350" s="10" t="s">
        <v>1351</v>
      </c>
      <c r="C350" s="3" t="str">
        <f>("294667")</f>
        <v>294667</v>
      </c>
      <c r="D350" s="11" t="str">
        <f>("622454605916")</f>
        <v>622454605916</v>
      </c>
      <c r="E350" s="3"/>
      <c r="F350" s="8" t="s">
        <v>377</v>
      </c>
      <c r="G350" s="14">
        <v>5690.3147086245363</v>
      </c>
      <c r="H350" s="35">
        <v>45689</v>
      </c>
      <c r="I350" s="3">
        <v>173.041</v>
      </c>
      <c r="J350" s="3" t="s">
        <v>10</v>
      </c>
      <c r="K350" s="11" t="str">
        <f>("00622454605916")</f>
        <v>00622454605916</v>
      </c>
      <c r="L350" s="3">
        <v>1</v>
      </c>
      <c r="M350" s="3"/>
    </row>
    <row r="351" spans="1:13" x14ac:dyDescent="0.25">
      <c r="A351" s="3" t="s">
        <v>1371</v>
      </c>
      <c r="B351" s="10" t="s">
        <v>1351</v>
      </c>
      <c r="C351" s="3" t="str">
        <f>("294671")</f>
        <v>294671</v>
      </c>
      <c r="D351" s="11" t="str">
        <f>("622454605954")</f>
        <v>622454605954</v>
      </c>
      <c r="E351" s="3"/>
      <c r="F351" s="8" t="s">
        <v>378</v>
      </c>
      <c r="G351" s="14">
        <v>7115.937643756627</v>
      </c>
      <c r="H351" s="35">
        <v>45689</v>
      </c>
      <c r="I351" s="3">
        <v>274.42399999999998</v>
      </c>
      <c r="J351" s="3" t="s">
        <v>10</v>
      </c>
      <c r="K351" s="11" t="str">
        <f>("00622454605954")</f>
        <v>00622454605954</v>
      </c>
      <c r="L351" s="3">
        <v>1</v>
      </c>
      <c r="M351" s="3"/>
    </row>
    <row r="352" spans="1:13" x14ac:dyDescent="0.25">
      <c r="A352" s="3" t="s">
        <v>1371</v>
      </c>
      <c r="B352" s="10" t="s">
        <v>1351</v>
      </c>
      <c r="C352" s="3" t="str">
        <f>("755151")</f>
        <v>755151</v>
      </c>
      <c r="D352" s="11" t="str">
        <f>("662671192110")</f>
        <v>662671192110</v>
      </c>
      <c r="E352" s="3" t="s">
        <v>379</v>
      </c>
      <c r="F352" s="8" t="s">
        <v>380</v>
      </c>
      <c r="G352" s="14">
        <v>36.86698086872893</v>
      </c>
      <c r="H352" s="35">
        <v>45689</v>
      </c>
      <c r="I352" s="3">
        <v>0.218</v>
      </c>
      <c r="J352" s="3" t="s">
        <v>3</v>
      </c>
      <c r="K352" s="11" t="str">
        <f>("10662671192117")</f>
        <v>10662671192117</v>
      </c>
      <c r="L352" s="3">
        <v>45</v>
      </c>
      <c r="M352" s="3">
        <v>3240</v>
      </c>
    </row>
    <row r="353" spans="1:13" x14ac:dyDescent="0.25">
      <c r="A353" s="3" t="s">
        <v>1371</v>
      </c>
      <c r="B353" s="10" t="s">
        <v>1351</v>
      </c>
      <c r="C353" s="3" t="str">
        <f>("755153")</f>
        <v>755153</v>
      </c>
      <c r="D353" s="11" t="str">
        <f>("662671191595")</f>
        <v>662671191595</v>
      </c>
      <c r="E353" s="3" t="s">
        <v>381</v>
      </c>
      <c r="F353" s="8" t="s">
        <v>382</v>
      </c>
      <c r="G353" s="14">
        <v>56.780425622545543</v>
      </c>
      <c r="H353" s="35">
        <v>45689</v>
      </c>
      <c r="I353" s="3">
        <v>0.35099999999999998</v>
      </c>
      <c r="J353" s="3" t="s">
        <v>3</v>
      </c>
      <c r="K353" s="11" t="str">
        <f>("10662671191592")</f>
        <v>10662671191592</v>
      </c>
      <c r="L353" s="3">
        <v>50</v>
      </c>
      <c r="M353" s="3">
        <v>1600</v>
      </c>
    </row>
    <row r="354" spans="1:13" x14ac:dyDescent="0.25">
      <c r="A354" s="3" t="s">
        <v>1371</v>
      </c>
      <c r="B354" s="10" t="s">
        <v>1351</v>
      </c>
      <c r="C354" s="3" t="str">
        <f>("755154")</f>
        <v>755154</v>
      </c>
      <c r="D354" s="11" t="str">
        <f>("662671191885")</f>
        <v>662671191885</v>
      </c>
      <c r="E354" s="3" t="s">
        <v>383</v>
      </c>
      <c r="F354" s="8" t="s">
        <v>384</v>
      </c>
      <c r="G354" s="14">
        <v>157.78364467188914</v>
      </c>
      <c r="H354" s="35">
        <v>45689</v>
      </c>
      <c r="I354" s="3">
        <v>0.96799999999999997</v>
      </c>
      <c r="J354" s="3" t="s">
        <v>3</v>
      </c>
      <c r="K354" s="11" t="str">
        <f>("10662671191882")</f>
        <v>10662671191882</v>
      </c>
      <c r="L354" s="3">
        <v>15</v>
      </c>
      <c r="M354" s="3">
        <v>480</v>
      </c>
    </row>
    <row r="355" spans="1:13" x14ac:dyDescent="0.25">
      <c r="A355" s="3" t="s">
        <v>1371</v>
      </c>
      <c r="B355" s="10" t="s">
        <v>1351</v>
      </c>
      <c r="C355" s="3" t="str">
        <f>("755155")</f>
        <v>755155</v>
      </c>
      <c r="D355" s="11" t="str">
        <f>("662671192004")</f>
        <v>662671192004</v>
      </c>
      <c r="E355" s="3" t="s">
        <v>385</v>
      </c>
      <c r="F355" s="8" t="s">
        <v>386</v>
      </c>
      <c r="G355" s="14">
        <v>263.76888816295286</v>
      </c>
      <c r="H355" s="35">
        <v>45689</v>
      </c>
      <c r="I355" s="3">
        <v>1.764</v>
      </c>
      <c r="J355" s="3" t="s">
        <v>3</v>
      </c>
      <c r="K355" s="11" t="str">
        <f>("10662671192001")</f>
        <v>10662671192001</v>
      </c>
      <c r="L355" s="3">
        <v>15</v>
      </c>
      <c r="M355" s="3">
        <v>270</v>
      </c>
    </row>
    <row r="356" spans="1:13" x14ac:dyDescent="0.25">
      <c r="A356" s="3" t="s">
        <v>1371</v>
      </c>
      <c r="B356" s="10" t="s">
        <v>1351</v>
      </c>
      <c r="C356" s="3" t="str">
        <f>("755156")</f>
        <v>755156</v>
      </c>
      <c r="D356" s="11" t="str">
        <f>("662671190239")</f>
        <v>662671190239</v>
      </c>
      <c r="E356" s="3">
        <v>192456</v>
      </c>
      <c r="F356" s="8" t="s">
        <v>387</v>
      </c>
      <c r="G356" s="14">
        <v>1179.3477564466009</v>
      </c>
      <c r="H356" s="35">
        <v>45689</v>
      </c>
      <c r="I356" s="3">
        <v>4.8099999999999996</v>
      </c>
      <c r="J356" s="3" t="s">
        <v>3</v>
      </c>
      <c r="K356" s="11" t="str">
        <f>("10662671190236")</f>
        <v>10662671190236</v>
      </c>
      <c r="L356" s="3">
        <v>4</v>
      </c>
      <c r="M356" s="3">
        <v>72</v>
      </c>
    </row>
    <row r="357" spans="1:13" x14ac:dyDescent="0.25">
      <c r="A357" s="3" t="s">
        <v>1371</v>
      </c>
      <c r="B357" s="10" t="s">
        <v>1351</v>
      </c>
      <c r="C357" s="3" t="str">
        <f>("226111")</f>
        <v>226111</v>
      </c>
      <c r="D357" s="11" t="str">
        <f>("622454875739")</f>
        <v>622454875739</v>
      </c>
      <c r="E357" s="3">
        <v>192458</v>
      </c>
      <c r="F357" s="8" t="s">
        <v>388</v>
      </c>
      <c r="G357" s="14">
        <v>2288.0972959514147</v>
      </c>
      <c r="H357" s="35">
        <v>45689</v>
      </c>
      <c r="I357" s="3">
        <v>11.177</v>
      </c>
      <c r="J357" s="3" t="s">
        <v>3</v>
      </c>
      <c r="K357" s="11" t="str">
        <f>("10622454875736")</f>
        <v>10622454875736</v>
      </c>
      <c r="L357" s="3">
        <v>3</v>
      </c>
      <c r="M357" s="3">
        <v>30</v>
      </c>
    </row>
    <row r="358" spans="1:13" x14ac:dyDescent="0.25">
      <c r="A358" s="3" t="s">
        <v>1371</v>
      </c>
      <c r="B358" s="10" t="s">
        <v>1351</v>
      </c>
      <c r="C358" s="3" t="str">
        <f>("226059")</f>
        <v>226059</v>
      </c>
      <c r="D358" s="11" t="str">
        <f>("622454875111")</f>
        <v>622454875111</v>
      </c>
      <c r="E358" s="3">
        <v>192455</v>
      </c>
      <c r="F358" s="8" t="s">
        <v>389</v>
      </c>
      <c r="G358" s="14">
        <v>3456.9828010704032</v>
      </c>
      <c r="H358" s="35">
        <v>45689</v>
      </c>
      <c r="I358" s="3">
        <v>13.999000000000001</v>
      </c>
      <c r="J358" s="3" t="s">
        <v>149</v>
      </c>
      <c r="K358" s="11" t="str">
        <f>("00622454875111")</f>
        <v>00622454875111</v>
      </c>
      <c r="L358" s="3">
        <v>1</v>
      </c>
      <c r="M358" s="3"/>
    </row>
    <row r="359" spans="1:13" x14ac:dyDescent="0.25">
      <c r="A359" s="3" t="s">
        <v>1371</v>
      </c>
      <c r="B359" s="10" t="s">
        <v>1351</v>
      </c>
      <c r="C359" s="3" t="str">
        <f>("226057")</f>
        <v>226057</v>
      </c>
      <c r="D359" s="11" t="str">
        <f>("622454875210")</f>
        <v>622454875210</v>
      </c>
      <c r="E359" s="3">
        <v>192457</v>
      </c>
      <c r="F359" s="8" t="s">
        <v>390</v>
      </c>
      <c r="G359" s="14">
        <v>4907.2208100290045</v>
      </c>
      <c r="H359" s="35">
        <v>45689</v>
      </c>
      <c r="I359" s="3">
        <v>21.001000000000001</v>
      </c>
      <c r="J359" s="3" t="s">
        <v>149</v>
      </c>
      <c r="K359" s="11" t="str">
        <f>("00622454875210")</f>
        <v>00622454875210</v>
      </c>
      <c r="L359" s="3">
        <v>1</v>
      </c>
      <c r="M359" s="3"/>
    </row>
    <row r="360" spans="1:13" x14ac:dyDescent="0.25">
      <c r="A360" s="3" t="s">
        <v>1371</v>
      </c>
      <c r="B360" s="10" t="s">
        <v>1351</v>
      </c>
      <c r="C360" s="3" t="str">
        <f>("294648")</f>
        <v>294648</v>
      </c>
      <c r="D360" s="11" t="str">
        <f>("622454605725")</f>
        <v>622454605725</v>
      </c>
      <c r="E360" s="3"/>
      <c r="F360" s="8" t="s">
        <v>391</v>
      </c>
      <c r="G360" s="14">
        <v>1237.0880411706678</v>
      </c>
      <c r="H360" s="35">
        <v>45689</v>
      </c>
      <c r="I360" s="3">
        <v>23.707999999999998</v>
      </c>
      <c r="J360" s="3" t="s">
        <v>10</v>
      </c>
      <c r="K360" s="11" t="str">
        <f>("10622454605722")</f>
        <v>10622454605722</v>
      </c>
      <c r="L360" s="3">
        <v>1</v>
      </c>
      <c r="M360" s="3">
        <v>12</v>
      </c>
    </row>
    <row r="361" spans="1:13" x14ac:dyDescent="0.25">
      <c r="A361" s="3" t="s">
        <v>1371</v>
      </c>
      <c r="B361" s="10" t="s">
        <v>1351</v>
      </c>
      <c r="C361" s="3" t="str">
        <f>("294653")</f>
        <v>294653</v>
      </c>
      <c r="D361" s="11" t="str">
        <f>("622454605770")</f>
        <v>622454605770</v>
      </c>
      <c r="E361" s="3"/>
      <c r="F361" s="8" t="s">
        <v>392</v>
      </c>
      <c r="G361" s="14">
        <v>1802.92642366723</v>
      </c>
      <c r="H361" s="35">
        <v>45689</v>
      </c>
      <c r="I361" s="3">
        <v>33.851999999999997</v>
      </c>
      <c r="J361" s="3" t="s">
        <v>10</v>
      </c>
      <c r="K361" s="11" t="str">
        <f>("10622454605777")</f>
        <v>10622454605777</v>
      </c>
      <c r="L361" s="3">
        <v>6</v>
      </c>
      <c r="M361" s="3"/>
    </row>
    <row r="362" spans="1:13" x14ac:dyDescent="0.25">
      <c r="A362" s="3" t="s">
        <v>1371</v>
      </c>
      <c r="B362" s="10" t="s">
        <v>1351</v>
      </c>
      <c r="C362" s="3" t="str">
        <f>("294657")</f>
        <v>294657</v>
      </c>
      <c r="D362" s="11" t="str">
        <f>("622454605817")</f>
        <v>622454605817</v>
      </c>
      <c r="E362" s="3"/>
      <c r="F362" s="8" t="s">
        <v>393</v>
      </c>
      <c r="G362" s="14">
        <v>2493.204232195088</v>
      </c>
      <c r="H362" s="35">
        <v>45689</v>
      </c>
      <c r="I362" s="3">
        <v>80.355999999999995</v>
      </c>
      <c r="J362" s="3" t="s">
        <v>10</v>
      </c>
      <c r="K362" s="11" t="str">
        <f>("00622454605817")</f>
        <v>00622454605817</v>
      </c>
      <c r="L362" s="3">
        <v>1</v>
      </c>
      <c r="M362" s="3"/>
    </row>
    <row r="363" spans="1:13" x14ac:dyDescent="0.25">
      <c r="A363" s="3" t="s">
        <v>1371</v>
      </c>
      <c r="B363" s="10" t="s">
        <v>1351</v>
      </c>
      <c r="C363" s="3" t="str">
        <f>("294661")</f>
        <v>294661</v>
      </c>
      <c r="D363" s="11" t="str">
        <f>("622454605855")</f>
        <v>622454605855</v>
      </c>
      <c r="E363" s="3"/>
      <c r="F363" s="8" t="s">
        <v>394</v>
      </c>
      <c r="G363" s="14">
        <v>3877.7081595953778</v>
      </c>
      <c r="H363" s="35">
        <v>45689</v>
      </c>
      <c r="I363" s="3">
        <v>157.608</v>
      </c>
      <c r="J363" s="3" t="s">
        <v>10</v>
      </c>
      <c r="K363" s="11" t="str">
        <f>("00622454605855")</f>
        <v>00622454605855</v>
      </c>
      <c r="L363" s="3">
        <v>1</v>
      </c>
      <c r="M363" s="3"/>
    </row>
    <row r="364" spans="1:13" x14ac:dyDescent="0.25">
      <c r="A364" s="3" t="s">
        <v>1371</v>
      </c>
      <c r="B364" s="10" t="s">
        <v>1351</v>
      </c>
      <c r="C364" s="3" t="str">
        <f>("294665")</f>
        <v>294665</v>
      </c>
      <c r="D364" s="11" t="str">
        <f>("622454605893")</f>
        <v>622454605893</v>
      </c>
      <c r="E364" s="3"/>
      <c r="F364" s="8" t="s">
        <v>395</v>
      </c>
      <c r="G364" s="14">
        <v>5608.1381933220664</v>
      </c>
      <c r="H364" s="35">
        <v>45689</v>
      </c>
      <c r="I364" s="3">
        <v>200.10900000000001</v>
      </c>
      <c r="J364" s="3" t="s">
        <v>10</v>
      </c>
      <c r="K364" s="11" t="str">
        <f>("00622454605893")</f>
        <v>00622454605893</v>
      </c>
      <c r="L364" s="3">
        <v>1</v>
      </c>
      <c r="M364" s="3"/>
    </row>
    <row r="365" spans="1:13" x14ac:dyDescent="0.25">
      <c r="A365" s="3" t="s">
        <v>1371</v>
      </c>
      <c r="B365" s="10" t="s">
        <v>1351</v>
      </c>
      <c r="C365" s="3" t="str">
        <f>("294669")</f>
        <v>294669</v>
      </c>
      <c r="D365" s="11" t="str">
        <f>("622454605930")</f>
        <v>622454605930</v>
      </c>
      <c r="E365" s="3"/>
      <c r="F365" s="8" t="s">
        <v>396</v>
      </c>
      <c r="G365" s="14">
        <v>6321.6753627894514</v>
      </c>
      <c r="H365" s="35">
        <v>45689</v>
      </c>
      <c r="I365" s="3">
        <v>195.55</v>
      </c>
      <c r="J365" s="3" t="s">
        <v>10</v>
      </c>
      <c r="K365" s="11" t="str">
        <f>("00622454605930")</f>
        <v>00622454605930</v>
      </c>
      <c r="L365" s="3">
        <v>1</v>
      </c>
      <c r="M365" s="3"/>
    </row>
    <row r="366" spans="1:13" x14ac:dyDescent="0.25">
      <c r="A366" s="3" t="s">
        <v>1371</v>
      </c>
      <c r="B366" s="10" t="s">
        <v>1351</v>
      </c>
      <c r="C366" s="3" t="str">
        <f>("294673")</f>
        <v>294673</v>
      </c>
      <c r="D366" s="11" t="str">
        <f>("622454605978")</f>
        <v>622454605978</v>
      </c>
      <c r="E366" s="3"/>
      <c r="F366" s="8" t="s">
        <v>397</v>
      </c>
      <c r="G366" s="14">
        <v>7905.1077113822039</v>
      </c>
      <c r="H366" s="35">
        <v>45689</v>
      </c>
      <c r="I366" s="3">
        <v>652.06899999999996</v>
      </c>
      <c r="J366" s="3" t="s">
        <v>10</v>
      </c>
      <c r="K366" s="11" t="str">
        <f>("00622454605978")</f>
        <v>00622454605978</v>
      </c>
      <c r="L366" s="3">
        <v>1</v>
      </c>
      <c r="M366" s="3"/>
    </row>
    <row r="367" spans="1:13" x14ac:dyDescent="0.25">
      <c r="A367" s="3" t="s">
        <v>1371</v>
      </c>
      <c r="B367" s="10" t="s">
        <v>1351</v>
      </c>
      <c r="C367" s="3" t="str">
        <f>("755100")</f>
        <v>755100</v>
      </c>
      <c r="D367" s="11" t="str">
        <f>("662671190888")</f>
        <v>662671190888</v>
      </c>
      <c r="E367" s="3">
        <v>192276</v>
      </c>
      <c r="F367" s="8" t="s">
        <v>398</v>
      </c>
      <c r="G367" s="14">
        <v>66.143700970366609</v>
      </c>
      <c r="H367" s="35">
        <v>45689</v>
      </c>
      <c r="I367" s="3">
        <v>0.28899999999999998</v>
      </c>
      <c r="J367" s="3" t="s">
        <v>3</v>
      </c>
      <c r="K367" s="11" t="str">
        <f>("10662671190885")</f>
        <v>10662671190885</v>
      </c>
      <c r="L367" s="3">
        <v>50</v>
      </c>
      <c r="M367" s="3">
        <v>2400</v>
      </c>
    </row>
    <row r="368" spans="1:13" x14ac:dyDescent="0.25">
      <c r="A368" s="3" t="s">
        <v>1371</v>
      </c>
      <c r="B368" s="10" t="s">
        <v>1351</v>
      </c>
      <c r="C368" s="3" t="str">
        <f>("755101")</f>
        <v>755101</v>
      </c>
      <c r="D368" s="11" t="str">
        <f>("662671190147")</f>
        <v>662671190147</v>
      </c>
      <c r="E368" s="3">
        <v>192277</v>
      </c>
      <c r="F368" s="8" t="s">
        <v>399</v>
      </c>
      <c r="G368" s="14">
        <v>73.777920776649509</v>
      </c>
      <c r="H368" s="35">
        <v>45689</v>
      </c>
      <c r="I368" s="3">
        <v>0.42299999999999999</v>
      </c>
      <c r="J368" s="3" t="s">
        <v>3</v>
      </c>
      <c r="K368" s="11" t="str">
        <f>("10662671190144")</f>
        <v>10662671190144</v>
      </c>
      <c r="L368" s="3">
        <v>45</v>
      </c>
      <c r="M368" s="3">
        <v>1440</v>
      </c>
    </row>
    <row r="369" spans="1:13" x14ac:dyDescent="0.25">
      <c r="A369" s="3" t="s">
        <v>1371</v>
      </c>
      <c r="B369" s="10" t="s">
        <v>1351</v>
      </c>
      <c r="C369" s="3" t="str">
        <f>("755102")</f>
        <v>755102</v>
      </c>
      <c r="D369" s="11" t="str">
        <f>("662671190154")</f>
        <v>662671190154</v>
      </c>
      <c r="E369" s="3">
        <v>192278</v>
      </c>
      <c r="F369" s="8" t="s">
        <v>400</v>
      </c>
      <c r="G369" s="14">
        <v>169.98960455410349</v>
      </c>
      <c r="H369" s="35">
        <v>45689</v>
      </c>
      <c r="I369" s="3">
        <v>1.248</v>
      </c>
      <c r="J369" s="3" t="s">
        <v>3</v>
      </c>
      <c r="K369" s="11" t="str">
        <f>("10662671190151")</f>
        <v>10662671190151</v>
      </c>
      <c r="L369" s="3">
        <v>15</v>
      </c>
      <c r="M369" s="3">
        <v>480</v>
      </c>
    </row>
    <row r="370" spans="1:13" x14ac:dyDescent="0.25">
      <c r="A370" s="3" t="s">
        <v>1371</v>
      </c>
      <c r="B370" s="10" t="s">
        <v>1351</v>
      </c>
      <c r="C370" s="3" t="str">
        <f>("755103")</f>
        <v>755103</v>
      </c>
      <c r="D370" s="11" t="str">
        <f>("662671191601")</f>
        <v>662671191601</v>
      </c>
      <c r="E370" s="3">
        <v>192279</v>
      </c>
      <c r="F370" s="8" t="s">
        <v>401</v>
      </c>
      <c r="G370" s="14">
        <v>320.72514994226492</v>
      </c>
      <c r="H370" s="35">
        <v>45689</v>
      </c>
      <c r="I370" s="3">
        <v>2.2309999999999999</v>
      </c>
      <c r="J370" s="3" t="s">
        <v>3</v>
      </c>
      <c r="K370" s="11" t="str">
        <f>("10662671191608")</f>
        <v>10662671191608</v>
      </c>
      <c r="L370" s="3">
        <v>12</v>
      </c>
      <c r="M370" s="3">
        <v>216</v>
      </c>
    </row>
    <row r="371" spans="1:13" x14ac:dyDescent="0.25">
      <c r="A371" s="3" t="s">
        <v>1371</v>
      </c>
      <c r="B371" s="10" t="s">
        <v>1351</v>
      </c>
      <c r="C371" s="3" t="str">
        <f>("755615")</f>
        <v>755615</v>
      </c>
      <c r="D371" s="11" t="str">
        <f>("662671192134")</f>
        <v>662671192134</v>
      </c>
      <c r="E371" s="3">
        <v>195276</v>
      </c>
      <c r="F371" s="8" t="s">
        <v>402</v>
      </c>
      <c r="G371" s="14">
        <v>101.41350341513231</v>
      </c>
      <c r="H371" s="35">
        <v>45689</v>
      </c>
      <c r="I371" s="3">
        <v>0.28000000000000003</v>
      </c>
      <c r="J371" s="3" t="s">
        <v>3</v>
      </c>
      <c r="K371" s="11" t="str">
        <f>("10662671192131")</f>
        <v>10662671192131</v>
      </c>
      <c r="L371" s="3">
        <v>30</v>
      </c>
      <c r="M371" s="3">
        <v>2160</v>
      </c>
    </row>
    <row r="372" spans="1:13" x14ac:dyDescent="0.25">
      <c r="A372" s="3" t="s">
        <v>1371</v>
      </c>
      <c r="B372" s="10" t="s">
        <v>1351</v>
      </c>
      <c r="C372" s="3" t="str">
        <f>("755616")</f>
        <v>755616</v>
      </c>
      <c r="D372" s="11" t="str">
        <f>("662671191182")</f>
        <v>662671191182</v>
      </c>
      <c r="E372" s="3">
        <v>195277</v>
      </c>
      <c r="F372" s="8" t="s">
        <v>403</v>
      </c>
      <c r="G372" s="14">
        <v>121.42951926039611</v>
      </c>
      <c r="H372" s="35">
        <v>45689</v>
      </c>
      <c r="I372" s="3">
        <v>0.41</v>
      </c>
      <c r="J372" s="3" t="s">
        <v>3</v>
      </c>
      <c r="K372" s="11" t="str">
        <f>("10662671191189")</f>
        <v>10662671191189</v>
      </c>
      <c r="L372" s="3">
        <v>25</v>
      </c>
      <c r="M372" s="3">
        <v>1200</v>
      </c>
    </row>
    <row r="373" spans="1:13" x14ac:dyDescent="0.25">
      <c r="A373" s="3" t="s">
        <v>1371</v>
      </c>
      <c r="B373" s="10" t="s">
        <v>1351</v>
      </c>
      <c r="C373" s="3" t="str">
        <f>("755617")</f>
        <v>755617</v>
      </c>
      <c r="D373" s="11" t="str">
        <f>("662671192035")</f>
        <v>662671192035</v>
      </c>
      <c r="E373" s="3">
        <v>195278</v>
      </c>
      <c r="F373" s="8" t="s">
        <v>404</v>
      </c>
      <c r="G373" s="14">
        <v>302.18908841645339</v>
      </c>
      <c r="H373" s="35">
        <v>45689</v>
      </c>
      <c r="I373" s="3">
        <v>1.21</v>
      </c>
      <c r="J373" s="3" t="s">
        <v>3</v>
      </c>
      <c r="K373" s="11" t="str">
        <f>("10662671192032")</f>
        <v>10662671192032</v>
      </c>
      <c r="L373" s="3">
        <v>25</v>
      </c>
      <c r="M373" s="3">
        <v>450</v>
      </c>
    </row>
    <row r="374" spans="1:13" x14ac:dyDescent="0.25">
      <c r="A374" s="3" t="s">
        <v>1371</v>
      </c>
      <c r="B374" s="10" t="s">
        <v>1351</v>
      </c>
      <c r="C374" s="3" t="str">
        <f>("755070")</f>
        <v>755070</v>
      </c>
      <c r="D374" s="11" t="str">
        <f>("662671192479")</f>
        <v>662671192479</v>
      </c>
      <c r="E374" s="3">
        <v>192201</v>
      </c>
      <c r="F374" s="8" t="s">
        <v>405</v>
      </c>
      <c r="G374" s="14">
        <v>58.714623346978065</v>
      </c>
      <c r="H374" s="35">
        <v>45689</v>
      </c>
      <c r="I374" s="3">
        <v>0.183</v>
      </c>
      <c r="J374" s="3" t="s">
        <v>3</v>
      </c>
      <c r="K374" s="11" t="str">
        <f>("10662671192476")</f>
        <v>10662671192476</v>
      </c>
      <c r="L374" s="3">
        <v>50</v>
      </c>
      <c r="M374" s="3">
        <v>3600</v>
      </c>
    </row>
    <row r="375" spans="1:13" x14ac:dyDescent="0.25">
      <c r="A375" s="3" t="s">
        <v>1371</v>
      </c>
      <c r="B375" s="10" t="s">
        <v>1351</v>
      </c>
      <c r="C375" s="3" t="str">
        <f>("755071")</f>
        <v>755071</v>
      </c>
      <c r="D375" s="11" t="str">
        <f>("662671192127")</f>
        <v>662671192127</v>
      </c>
      <c r="E375" s="3">
        <v>192202</v>
      </c>
      <c r="F375" s="8" t="s">
        <v>406</v>
      </c>
      <c r="G375" s="14">
        <v>76.151708892998499</v>
      </c>
      <c r="H375" s="35">
        <v>45689</v>
      </c>
      <c r="I375" s="3">
        <v>0.26700000000000002</v>
      </c>
      <c r="J375" s="3" t="s">
        <v>3</v>
      </c>
      <c r="K375" s="11" t="str">
        <f>("10662671192124")</f>
        <v>10662671192124</v>
      </c>
      <c r="L375" s="3">
        <v>35</v>
      </c>
      <c r="M375" s="3">
        <v>2520</v>
      </c>
    </row>
    <row r="376" spans="1:13" x14ac:dyDescent="0.25">
      <c r="A376" s="3" t="s">
        <v>1371</v>
      </c>
      <c r="B376" s="10" t="s">
        <v>1351</v>
      </c>
      <c r="C376" s="3" t="str">
        <f>("755072")</f>
        <v>755072</v>
      </c>
      <c r="D376" s="11" t="str">
        <f>("662671192349")</f>
        <v>662671192349</v>
      </c>
      <c r="E376" s="3">
        <v>192203</v>
      </c>
      <c r="F376" s="8" t="s">
        <v>407</v>
      </c>
      <c r="G376" s="14">
        <v>197.37608597050027</v>
      </c>
      <c r="H376" s="35">
        <v>45689</v>
      </c>
      <c r="I376" s="3">
        <v>8.7999999999999995E-2</v>
      </c>
      <c r="J376" s="3" t="s">
        <v>3</v>
      </c>
      <c r="K376" s="11" t="str">
        <f>("10662671192346")</f>
        <v>10662671192346</v>
      </c>
      <c r="L376" s="3">
        <v>20</v>
      </c>
      <c r="M376" s="3">
        <v>640</v>
      </c>
    </row>
    <row r="377" spans="1:13" x14ac:dyDescent="0.25">
      <c r="A377" s="3" t="s">
        <v>1371</v>
      </c>
      <c r="B377" s="10" t="s">
        <v>1351</v>
      </c>
      <c r="C377" s="3" t="s">
        <v>1325</v>
      </c>
      <c r="D377" s="11">
        <v>662671075192</v>
      </c>
      <c r="E377" s="3" t="s">
        <v>1326</v>
      </c>
      <c r="F377" s="12" t="s">
        <v>1327</v>
      </c>
      <c r="G377" s="14">
        <v>59.158609642813701</v>
      </c>
      <c r="H377" s="35">
        <v>45689</v>
      </c>
      <c r="I377" s="3">
        <v>0.17899999999999999</v>
      </c>
      <c r="J377" s="3" t="s">
        <v>3</v>
      </c>
      <c r="K377" s="23" t="s">
        <v>1355</v>
      </c>
      <c r="L377" s="3">
        <v>125</v>
      </c>
      <c r="M377" s="3">
        <v>4000</v>
      </c>
    </row>
    <row r="378" spans="1:13" x14ac:dyDescent="0.25">
      <c r="A378" s="3" t="s">
        <v>1371</v>
      </c>
      <c r="B378" s="10" t="s">
        <v>1351</v>
      </c>
      <c r="C378" s="3" t="s">
        <v>1328</v>
      </c>
      <c r="D378" s="11">
        <v>662671075208</v>
      </c>
      <c r="E378" s="3" t="s">
        <v>1329</v>
      </c>
      <c r="F378" s="12" t="s">
        <v>1330</v>
      </c>
      <c r="G378" s="14">
        <v>88.152526592318438</v>
      </c>
      <c r="H378" s="35">
        <v>45689</v>
      </c>
      <c r="I378" s="3"/>
      <c r="J378" s="3" t="s">
        <v>3</v>
      </c>
      <c r="K378" s="11" t="s">
        <v>1354</v>
      </c>
      <c r="L378" s="3">
        <v>50</v>
      </c>
      <c r="M378" s="3">
        <v>2400</v>
      </c>
    </row>
    <row r="379" spans="1:13" x14ac:dyDescent="0.25">
      <c r="A379" s="3" t="s">
        <v>1371</v>
      </c>
      <c r="B379" s="10" t="s">
        <v>1351</v>
      </c>
      <c r="C379" s="3" t="str">
        <f>("755080")</f>
        <v>755080</v>
      </c>
      <c r="D379" s="11" t="str">
        <f>("662671191779")</f>
        <v>662671191779</v>
      </c>
      <c r="E379" s="3">
        <v>192245</v>
      </c>
      <c r="F379" s="8" t="s">
        <v>408</v>
      </c>
      <c r="G379" s="14">
        <v>227.67851698660968</v>
      </c>
      <c r="H379" s="35">
        <v>45689</v>
      </c>
      <c r="I379" s="3">
        <v>1.1220000000000001</v>
      </c>
      <c r="J379" s="3" t="s">
        <v>3</v>
      </c>
      <c r="K379" s="11" t="str">
        <f>("10662671191776")</f>
        <v>10662671191776</v>
      </c>
      <c r="L379" s="3">
        <v>25</v>
      </c>
      <c r="M379" s="3">
        <v>450</v>
      </c>
    </row>
    <row r="380" spans="1:13" x14ac:dyDescent="0.25">
      <c r="A380" s="3" t="s">
        <v>1371</v>
      </c>
      <c r="B380" s="10" t="s">
        <v>1351</v>
      </c>
      <c r="C380" s="3" t="str">
        <f>("755082")</f>
        <v>755082</v>
      </c>
      <c r="D380" s="11" t="str">
        <f>("662671192639")</f>
        <v>662671192639</v>
      </c>
      <c r="E380" s="3">
        <v>192249</v>
      </c>
      <c r="F380" s="8" t="s">
        <v>409</v>
      </c>
      <c r="G380" s="14">
        <v>449.52513477379409</v>
      </c>
      <c r="H380" s="35">
        <v>45689</v>
      </c>
      <c r="I380" s="3">
        <v>1.85</v>
      </c>
      <c r="J380" s="3" t="s">
        <v>3</v>
      </c>
      <c r="K380" s="11" t="str">
        <f>("10662671192636")</f>
        <v>10662671192636</v>
      </c>
      <c r="L380" s="3">
        <v>10</v>
      </c>
      <c r="M380" s="3">
        <v>180</v>
      </c>
    </row>
    <row r="381" spans="1:13" x14ac:dyDescent="0.25">
      <c r="A381" s="3" t="s">
        <v>1371</v>
      </c>
      <c r="B381" s="10" t="s">
        <v>1351</v>
      </c>
      <c r="C381" s="3" t="str">
        <f>("755081")</f>
        <v>755081</v>
      </c>
      <c r="D381" s="11" t="str">
        <f>("662671191939")</f>
        <v>662671191939</v>
      </c>
      <c r="E381" s="3">
        <v>192248</v>
      </c>
      <c r="F381" s="8" t="s">
        <v>410</v>
      </c>
      <c r="G381" s="14">
        <v>651.19455357201207</v>
      </c>
      <c r="H381" s="35">
        <v>45689</v>
      </c>
      <c r="I381" s="3">
        <v>1.08</v>
      </c>
      <c r="J381" s="3" t="s">
        <v>3</v>
      </c>
      <c r="K381" s="11" t="str">
        <f>("10662671191936")</f>
        <v>10662671191936</v>
      </c>
      <c r="L381" s="3">
        <v>15</v>
      </c>
      <c r="M381" s="3">
        <v>480</v>
      </c>
    </row>
    <row r="382" spans="1:13" x14ac:dyDescent="0.25">
      <c r="A382" s="3" t="s">
        <v>1371</v>
      </c>
      <c r="B382" s="10" t="s">
        <v>1351</v>
      </c>
      <c r="C382" s="3" t="str">
        <f>("755120")</f>
        <v>755120</v>
      </c>
      <c r="D382" s="11" t="str">
        <f>("662671191946")</f>
        <v>662671191946</v>
      </c>
      <c r="E382" s="3" t="s">
        <v>411</v>
      </c>
      <c r="F382" s="8" t="s">
        <v>412</v>
      </c>
      <c r="G382" s="14">
        <v>90.584926760922968</v>
      </c>
      <c r="H382" s="35">
        <v>45689</v>
      </c>
      <c r="I382" s="3">
        <v>0.39700000000000002</v>
      </c>
      <c r="J382" s="3" t="s">
        <v>3</v>
      </c>
      <c r="K382" s="11" t="str">
        <f>("10662671191943")</f>
        <v>10662671191943</v>
      </c>
      <c r="L382" s="3">
        <v>55</v>
      </c>
      <c r="M382" s="3">
        <v>1760</v>
      </c>
    </row>
    <row r="383" spans="1:13" x14ac:dyDescent="0.25">
      <c r="A383" s="3" t="s">
        <v>1371</v>
      </c>
      <c r="B383" s="10" t="s">
        <v>1351</v>
      </c>
      <c r="C383" s="3" t="str">
        <f>("755121")</f>
        <v>755121</v>
      </c>
      <c r="D383" s="11" t="str">
        <f>("662671191830")</f>
        <v>662671191830</v>
      </c>
      <c r="E383" s="3" t="s">
        <v>413</v>
      </c>
      <c r="F383" s="8" t="s">
        <v>414</v>
      </c>
      <c r="G383" s="14">
        <v>89.310114624365184</v>
      </c>
      <c r="H383" s="35">
        <v>45689</v>
      </c>
      <c r="I383" s="3">
        <v>0.60199999999999998</v>
      </c>
      <c r="J383" s="3" t="s">
        <v>3</v>
      </c>
      <c r="K383" s="11" t="str">
        <f>("10662671191837")</f>
        <v>10662671191837</v>
      </c>
      <c r="L383" s="3">
        <v>25</v>
      </c>
      <c r="M383" s="3">
        <v>800</v>
      </c>
    </row>
    <row r="384" spans="1:13" x14ac:dyDescent="0.25">
      <c r="A384" s="3" t="s">
        <v>1371</v>
      </c>
      <c r="B384" s="10" t="s">
        <v>1351</v>
      </c>
      <c r="C384" s="3" t="str">
        <f>("755122")</f>
        <v>755122</v>
      </c>
      <c r="D384" s="11" t="str">
        <f>("662671191236")</f>
        <v>662671191236</v>
      </c>
      <c r="E384" s="3" t="s">
        <v>415</v>
      </c>
      <c r="F384" s="8" t="s">
        <v>416</v>
      </c>
      <c r="G384" s="14">
        <v>241.24720708376506</v>
      </c>
      <c r="H384" s="35">
        <v>45689</v>
      </c>
      <c r="I384" s="3">
        <v>1.889</v>
      </c>
      <c r="J384" s="3" t="s">
        <v>3</v>
      </c>
      <c r="K384" s="11" t="str">
        <f>("10662671191233")</f>
        <v>10662671191233</v>
      </c>
      <c r="L384" s="3">
        <v>15</v>
      </c>
      <c r="M384" s="3">
        <v>270</v>
      </c>
    </row>
    <row r="385" spans="1:13" x14ac:dyDescent="0.25">
      <c r="A385" s="3" t="s">
        <v>1371</v>
      </c>
      <c r="B385" s="10" t="s">
        <v>1351</v>
      </c>
      <c r="C385" s="3" t="str">
        <f>("755123")</f>
        <v>755123</v>
      </c>
      <c r="D385" s="11" t="str">
        <f>("662671191984")</f>
        <v>662671191984</v>
      </c>
      <c r="E385" s="3" t="s">
        <v>417</v>
      </c>
      <c r="F385" s="8" t="s">
        <v>418</v>
      </c>
      <c r="G385" s="14">
        <v>437.74411227043242</v>
      </c>
      <c r="H385" s="35">
        <v>45689</v>
      </c>
      <c r="I385" s="3">
        <v>3.194</v>
      </c>
      <c r="J385" s="3" t="s">
        <v>3</v>
      </c>
      <c r="K385" s="11" t="str">
        <f>("10662671191981")</f>
        <v>10662671191981</v>
      </c>
      <c r="L385" s="3">
        <v>5</v>
      </c>
      <c r="M385" s="3">
        <v>160</v>
      </c>
    </row>
    <row r="386" spans="1:13" x14ac:dyDescent="0.25">
      <c r="A386" s="3" t="s">
        <v>1371</v>
      </c>
      <c r="B386" s="10" t="s">
        <v>1351</v>
      </c>
      <c r="C386" s="3" t="str">
        <f>("755124")</f>
        <v>755124</v>
      </c>
      <c r="D386" s="11" t="str">
        <f>("662671190741")</f>
        <v>662671190741</v>
      </c>
      <c r="E386" s="3">
        <v>192306</v>
      </c>
      <c r="F386" s="8" t="s">
        <v>419</v>
      </c>
      <c r="G386" s="14">
        <v>1263.6172345769903</v>
      </c>
      <c r="H386" s="35">
        <v>45689</v>
      </c>
      <c r="I386" s="3">
        <v>7.1189999999999998</v>
      </c>
      <c r="J386" s="3" t="s">
        <v>3</v>
      </c>
      <c r="K386" s="11" t="str">
        <f>("10662671190748")</f>
        <v>10662671190748</v>
      </c>
      <c r="L386" s="3">
        <v>2</v>
      </c>
      <c r="M386" s="3">
        <v>36</v>
      </c>
    </row>
    <row r="387" spans="1:13" x14ac:dyDescent="0.25">
      <c r="A387" s="3" t="s">
        <v>1371</v>
      </c>
      <c r="B387" s="10" t="s">
        <v>1351</v>
      </c>
      <c r="C387" s="3" t="str">
        <f>("626094")</f>
        <v>626094</v>
      </c>
      <c r="D387" s="11" t="str">
        <f>("622454868458")</f>
        <v>622454868458</v>
      </c>
      <c r="E387" s="3">
        <v>192308</v>
      </c>
      <c r="F387" s="8" t="s">
        <v>420</v>
      </c>
      <c r="G387" s="14">
        <v>2227.8294532196651</v>
      </c>
      <c r="H387" s="35">
        <v>45689</v>
      </c>
      <c r="I387" s="3">
        <v>16.254999999999999</v>
      </c>
      <c r="J387" s="3" t="s">
        <v>3</v>
      </c>
      <c r="K387" s="11" t="str">
        <f>("10622454868455")</f>
        <v>10622454868455</v>
      </c>
      <c r="L387" s="3">
        <v>12</v>
      </c>
      <c r="M387" s="3"/>
    </row>
    <row r="388" spans="1:13" x14ac:dyDescent="0.25">
      <c r="A388" s="3" t="s">
        <v>1371</v>
      </c>
      <c r="B388" s="10" t="s">
        <v>1351</v>
      </c>
      <c r="C388" s="3" t="str">
        <f>("226131")</f>
        <v>226131</v>
      </c>
      <c r="D388" s="11" t="str">
        <f>("622454876125")</f>
        <v>622454876125</v>
      </c>
      <c r="E388" s="3">
        <v>192305</v>
      </c>
      <c r="F388" s="8" t="s">
        <v>421</v>
      </c>
      <c r="G388" s="14">
        <v>2832.6179144183607</v>
      </c>
      <c r="H388" s="35">
        <v>45689</v>
      </c>
      <c r="I388" s="3">
        <v>26.059000000000001</v>
      </c>
      <c r="J388" s="3" t="s">
        <v>149</v>
      </c>
      <c r="K388" s="11" t="str">
        <f>("00622454876125")</f>
        <v>00622454876125</v>
      </c>
      <c r="L388" s="3">
        <v>1</v>
      </c>
      <c r="M388" s="3"/>
    </row>
    <row r="389" spans="1:13" x14ac:dyDescent="0.25">
      <c r="A389" s="3" t="s">
        <v>1371</v>
      </c>
      <c r="B389" s="10" t="s">
        <v>1351</v>
      </c>
      <c r="C389" s="3" t="str">
        <f>("226113")</f>
        <v>226113</v>
      </c>
      <c r="D389" s="11" t="str">
        <f>("622454875746")</f>
        <v>622454875746</v>
      </c>
      <c r="E389" s="3">
        <v>192307</v>
      </c>
      <c r="F389" s="8" t="s">
        <v>422</v>
      </c>
      <c r="G389" s="14">
        <v>4601.4563864249631</v>
      </c>
      <c r="H389" s="35">
        <v>45689</v>
      </c>
      <c r="I389" s="3">
        <v>41.002000000000002</v>
      </c>
      <c r="J389" s="3" t="s">
        <v>149</v>
      </c>
      <c r="K389" s="11" t="str">
        <f>("00622454875746")</f>
        <v>00622454875746</v>
      </c>
      <c r="L389" s="3">
        <v>1</v>
      </c>
      <c r="M389" s="3"/>
    </row>
    <row r="390" spans="1:13" x14ac:dyDescent="0.25">
      <c r="A390" s="3" t="s">
        <v>1371</v>
      </c>
      <c r="B390" s="10" t="s">
        <v>1351</v>
      </c>
      <c r="C390" s="3" t="str">
        <f>("295171")</f>
        <v>295171</v>
      </c>
      <c r="D390" s="11" t="str">
        <f>("622454611252")</f>
        <v>622454611252</v>
      </c>
      <c r="E390" s="3"/>
      <c r="F390" s="8" t="s">
        <v>423</v>
      </c>
      <c r="G390" s="14">
        <v>1843.02</v>
      </c>
      <c r="H390" s="35">
        <v>45689</v>
      </c>
      <c r="I390" s="3">
        <v>39.057000000000002</v>
      </c>
      <c r="J390" s="3" t="s">
        <v>10</v>
      </c>
      <c r="K390" s="11" t="str">
        <f>("30622454611253")</f>
        <v>30622454611253</v>
      </c>
      <c r="L390" s="3">
        <v>6</v>
      </c>
      <c r="M390" s="3"/>
    </row>
    <row r="391" spans="1:13" x14ac:dyDescent="0.25">
      <c r="A391" s="3" t="s">
        <v>1371</v>
      </c>
      <c r="B391" s="10" t="s">
        <v>1351</v>
      </c>
      <c r="C391" s="3" t="str">
        <f>("295173")</f>
        <v>295173</v>
      </c>
      <c r="D391" s="11" t="str">
        <f>("622454611276")</f>
        <v>622454611276</v>
      </c>
      <c r="E391" s="3"/>
      <c r="F391" s="8" t="s">
        <v>424</v>
      </c>
      <c r="G391" s="14">
        <v>2432</v>
      </c>
      <c r="H391" s="35">
        <v>45689</v>
      </c>
      <c r="I391" s="3">
        <v>67.715000000000003</v>
      </c>
      <c r="J391" s="3" t="s">
        <v>10</v>
      </c>
      <c r="K391" s="11" t="str">
        <f>("10622454611273")</f>
        <v>10622454611273</v>
      </c>
      <c r="L391" s="3">
        <v>4</v>
      </c>
      <c r="M391" s="3"/>
    </row>
    <row r="392" spans="1:13" x14ac:dyDescent="0.25">
      <c r="A392" s="3" t="s">
        <v>1371</v>
      </c>
      <c r="B392" s="10" t="s">
        <v>1351</v>
      </c>
      <c r="C392" s="3" t="str">
        <f>("295175")</f>
        <v>295175</v>
      </c>
      <c r="D392" s="11" t="str">
        <f>("622454611290")</f>
        <v>622454611290</v>
      </c>
      <c r="E392" s="3"/>
      <c r="F392" s="8" t="s">
        <v>425</v>
      </c>
      <c r="G392" s="14">
        <v>5233.8500000000004</v>
      </c>
      <c r="H392" s="35">
        <v>45689</v>
      </c>
      <c r="I392" s="3">
        <v>80.355999999999995</v>
      </c>
      <c r="J392" s="3" t="s">
        <v>10</v>
      </c>
      <c r="K392" s="11" t="str">
        <f>("20622454611294")</f>
        <v>20622454611294</v>
      </c>
      <c r="L392" s="3">
        <v>2</v>
      </c>
      <c r="M392" s="3"/>
    </row>
    <row r="393" spans="1:13" x14ac:dyDescent="0.25">
      <c r="A393" s="3" t="s">
        <v>1371</v>
      </c>
      <c r="B393" s="10" t="s">
        <v>1351</v>
      </c>
      <c r="C393" s="3" t="str">
        <f>("295177")</f>
        <v>295177</v>
      </c>
      <c r="D393" s="11" t="str">
        <f>("622454611313")</f>
        <v>622454611313</v>
      </c>
      <c r="E393" s="3"/>
      <c r="F393" s="8" t="s">
        <v>426</v>
      </c>
      <c r="G393" s="14">
        <v>6659.2</v>
      </c>
      <c r="H393" s="35">
        <v>45689</v>
      </c>
      <c r="I393" s="3">
        <v>157.608</v>
      </c>
      <c r="J393" s="3" t="s">
        <v>10</v>
      </c>
      <c r="K393" s="11" t="str">
        <f>("00622454611313")</f>
        <v>00622454611313</v>
      </c>
      <c r="L393" s="3">
        <v>1</v>
      </c>
      <c r="M393" s="3"/>
    </row>
    <row r="394" spans="1:13" x14ac:dyDescent="0.25">
      <c r="A394" s="3" t="s">
        <v>1371</v>
      </c>
      <c r="B394" s="10" t="s">
        <v>1351</v>
      </c>
      <c r="C394" s="3" t="str">
        <f>("295179")</f>
        <v>295179</v>
      </c>
      <c r="D394" s="11" t="str">
        <f>("622454611337")</f>
        <v>622454611337</v>
      </c>
      <c r="E394" s="3"/>
      <c r="F394" s="8" t="s">
        <v>427</v>
      </c>
      <c r="G394" s="14">
        <v>7657.33</v>
      </c>
      <c r="H394" s="35">
        <v>45689</v>
      </c>
      <c r="I394" s="3">
        <v>200.32900000000001</v>
      </c>
      <c r="J394" s="3" t="s">
        <v>10</v>
      </c>
      <c r="K394" s="11" t="str">
        <f>("20622454611331")</f>
        <v>20622454611331</v>
      </c>
      <c r="L394" s="3">
        <v>2</v>
      </c>
      <c r="M394" s="3">
        <v>2</v>
      </c>
    </row>
    <row r="395" spans="1:13" x14ac:dyDescent="0.25">
      <c r="A395" s="3" t="s">
        <v>1371</v>
      </c>
      <c r="B395" s="10" t="s">
        <v>1351</v>
      </c>
      <c r="C395" s="3" t="str">
        <f>("295181")</f>
        <v>295181</v>
      </c>
      <c r="D395" s="11" t="str">
        <f>("622454611351")</f>
        <v>622454611351</v>
      </c>
      <c r="E395" s="3"/>
      <c r="F395" s="8" t="s">
        <v>428</v>
      </c>
      <c r="G395" s="14">
        <v>11284.86</v>
      </c>
      <c r="H395" s="35">
        <v>45689</v>
      </c>
      <c r="I395" s="3">
        <v>234.47200000000001</v>
      </c>
      <c r="J395" s="3" t="s">
        <v>10</v>
      </c>
      <c r="K395" s="11" t="str">
        <f>("00622454611351")</f>
        <v>00622454611351</v>
      </c>
      <c r="L395" s="3">
        <v>1</v>
      </c>
      <c r="M395" s="3"/>
    </row>
    <row r="396" spans="1:13" x14ac:dyDescent="0.25">
      <c r="A396" s="3" t="s">
        <v>1371</v>
      </c>
      <c r="B396" s="10" t="s">
        <v>1351</v>
      </c>
      <c r="C396" s="3" t="str">
        <f>("295183")</f>
        <v>295183</v>
      </c>
      <c r="D396" s="11" t="str">
        <f>("622454611375")</f>
        <v>622454611375</v>
      </c>
      <c r="E396" s="3"/>
      <c r="F396" s="8" t="s">
        <v>429</v>
      </c>
      <c r="G396" s="14">
        <v>14041.98</v>
      </c>
      <c r="H396" s="35">
        <v>45689</v>
      </c>
      <c r="I396" s="3">
        <v>652.06899999999996</v>
      </c>
      <c r="J396" s="3" t="s">
        <v>10</v>
      </c>
      <c r="K396" s="11" t="str">
        <f>("00622454611375")</f>
        <v>00622454611375</v>
      </c>
      <c r="L396" s="3">
        <v>1</v>
      </c>
      <c r="M396" s="3"/>
    </row>
    <row r="397" spans="1:13" x14ac:dyDescent="0.25">
      <c r="A397" s="3" t="s">
        <v>1371</v>
      </c>
      <c r="B397" s="10" t="s">
        <v>1351</v>
      </c>
      <c r="C397" s="3" t="str">
        <f>("755126")</f>
        <v>755126</v>
      </c>
      <c r="D397" s="11" t="str">
        <f>("662671191311")</f>
        <v>662671191311</v>
      </c>
      <c r="E397" s="3">
        <v>192324</v>
      </c>
      <c r="F397" s="8" t="s">
        <v>430</v>
      </c>
      <c r="G397" s="14">
        <v>124.72644719976974</v>
      </c>
      <c r="H397" s="35">
        <v>45689</v>
      </c>
      <c r="I397" s="3">
        <v>0.503</v>
      </c>
      <c r="J397" s="3" t="s">
        <v>3</v>
      </c>
      <c r="K397" s="11" t="str">
        <f>("10662671191318")</f>
        <v>10662671191318</v>
      </c>
      <c r="L397" s="3">
        <v>25</v>
      </c>
      <c r="M397" s="3">
        <v>1200</v>
      </c>
    </row>
    <row r="398" spans="1:13" x14ac:dyDescent="0.25">
      <c r="A398" s="3" t="s">
        <v>1371</v>
      </c>
      <c r="B398" s="10" t="s">
        <v>1351</v>
      </c>
      <c r="C398" s="3" t="str">
        <f>("755127")</f>
        <v>755127</v>
      </c>
      <c r="D398" s="11" t="str">
        <f>("662671191854")</f>
        <v>662671191854</v>
      </c>
      <c r="E398" s="3" t="s">
        <v>431</v>
      </c>
      <c r="F398" s="8" t="s">
        <v>432</v>
      </c>
      <c r="G398" s="14">
        <v>109.0623762344791</v>
      </c>
      <c r="H398" s="35">
        <v>45689</v>
      </c>
      <c r="I398" s="3">
        <v>0.48099999999999998</v>
      </c>
      <c r="J398" s="3" t="s">
        <v>3</v>
      </c>
      <c r="K398" s="11" t="str">
        <f>("10662671191851")</f>
        <v>10662671191851</v>
      </c>
      <c r="L398" s="3">
        <v>35</v>
      </c>
      <c r="M398" s="3">
        <v>1120</v>
      </c>
    </row>
    <row r="399" spans="1:13" x14ac:dyDescent="0.25">
      <c r="A399" s="3" t="s">
        <v>1371</v>
      </c>
      <c r="B399" s="10" t="s">
        <v>1351</v>
      </c>
      <c r="C399" s="3" t="str">
        <f>("755131")</f>
        <v>755131</v>
      </c>
      <c r="D399" s="11" t="str">
        <f>("662671191861")</f>
        <v>662671191861</v>
      </c>
      <c r="E399" s="3" t="s">
        <v>433</v>
      </c>
      <c r="F399" s="8" t="s">
        <v>434</v>
      </c>
      <c r="G399" s="14">
        <v>161.34432684641266</v>
      </c>
      <c r="H399" s="35">
        <v>45689</v>
      </c>
      <c r="I399" s="3">
        <v>1.087</v>
      </c>
      <c r="J399" s="3" t="s">
        <v>3</v>
      </c>
      <c r="K399" s="11" t="str">
        <f>("10662671191868")</f>
        <v>10662671191868</v>
      </c>
      <c r="L399" s="3">
        <v>15</v>
      </c>
      <c r="M399" s="3">
        <v>480</v>
      </c>
    </row>
    <row r="400" spans="1:13" x14ac:dyDescent="0.25">
      <c r="A400" s="3" t="s">
        <v>1371</v>
      </c>
      <c r="B400" s="10" t="s">
        <v>1351</v>
      </c>
      <c r="C400" s="3" t="str">
        <f>("755128")</f>
        <v>755128</v>
      </c>
      <c r="D400" s="11" t="str">
        <f>("662671191304")</f>
        <v>662671191304</v>
      </c>
      <c r="E400" s="3" t="s">
        <v>435</v>
      </c>
      <c r="F400" s="8" t="s">
        <v>436</v>
      </c>
      <c r="G400" s="14">
        <v>178.47369911809156</v>
      </c>
      <c r="H400" s="35">
        <v>45689</v>
      </c>
      <c r="I400" s="3">
        <v>1.2869999999999999</v>
      </c>
      <c r="J400" s="3" t="s">
        <v>3</v>
      </c>
      <c r="K400" s="11" t="str">
        <f>("10662671191301")</f>
        <v>10662671191301</v>
      </c>
      <c r="L400" s="3">
        <v>15</v>
      </c>
      <c r="M400" s="3">
        <v>480</v>
      </c>
    </row>
    <row r="401" spans="1:13" x14ac:dyDescent="0.25">
      <c r="A401" s="3" t="s">
        <v>1371</v>
      </c>
      <c r="B401" s="10" t="s">
        <v>1351</v>
      </c>
      <c r="C401" s="3" t="str">
        <f>("755130")</f>
        <v>755130</v>
      </c>
      <c r="D401" s="11" t="str">
        <f>("662671191991")</f>
        <v>662671191991</v>
      </c>
      <c r="E401" s="3" t="s">
        <v>437</v>
      </c>
      <c r="F401" s="8" t="s">
        <v>438</v>
      </c>
      <c r="G401" s="14">
        <v>261.98122056915912</v>
      </c>
      <c r="H401" s="35">
        <v>45689</v>
      </c>
      <c r="I401" s="3">
        <v>1.8959999999999999</v>
      </c>
      <c r="J401" s="3" t="s">
        <v>3</v>
      </c>
      <c r="K401" s="11" t="str">
        <f>("10662671191998")</f>
        <v>10662671191998</v>
      </c>
      <c r="L401" s="3">
        <v>15</v>
      </c>
      <c r="M401" s="3">
        <v>270</v>
      </c>
    </row>
    <row r="402" spans="1:13" x14ac:dyDescent="0.25">
      <c r="A402" s="3" t="s">
        <v>1371</v>
      </c>
      <c r="B402" s="10" t="s">
        <v>1351</v>
      </c>
      <c r="C402" s="3" t="str">
        <f>("755129")</f>
        <v>755129</v>
      </c>
      <c r="D402" s="11" t="str">
        <f>("662671191977")</f>
        <v>662671191977</v>
      </c>
      <c r="E402" s="3" t="s">
        <v>439</v>
      </c>
      <c r="F402" s="8" t="s">
        <v>440</v>
      </c>
      <c r="G402" s="14">
        <v>355.36487282528373</v>
      </c>
      <c r="H402" s="35">
        <v>45689</v>
      </c>
      <c r="I402" s="3">
        <v>2.4889999999999999</v>
      </c>
      <c r="J402" s="3" t="s">
        <v>3</v>
      </c>
      <c r="K402" s="11" t="str">
        <f>("10662671191974")</f>
        <v>10662671191974</v>
      </c>
      <c r="L402" s="3">
        <v>10</v>
      </c>
      <c r="M402" s="3">
        <v>180</v>
      </c>
    </row>
    <row r="403" spans="1:13" x14ac:dyDescent="0.25">
      <c r="A403" s="3" t="s">
        <v>1371</v>
      </c>
      <c r="B403" s="10" t="s">
        <v>1351</v>
      </c>
      <c r="C403" s="3" t="str">
        <f>("755132")</f>
        <v>755132</v>
      </c>
      <c r="D403" s="11" t="str">
        <f>("662671191137")</f>
        <v>662671191137</v>
      </c>
      <c r="E403" s="3">
        <v>192343</v>
      </c>
      <c r="F403" s="8" t="s">
        <v>441</v>
      </c>
      <c r="G403" s="14">
        <v>1227.6294344920943</v>
      </c>
      <c r="H403" s="35">
        <v>45689</v>
      </c>
      <c r="I403" s="3">
        <v>5.0640000000000001</v>
      </c>
      <c r="J403" s="3" t="s">
        <v>3</v>
      </c>
      <c r="K403" s="11" t="str">
        <f>("10662671191134")</f>
        <v>10662671191134</v>
      </c>
      <c r="L403" s="3">
        <v>4</v>
      </c>
      <c r="M403" s="3">
        <v>72</v>
      </c>
    </row>
    <row r="404" spans="1:13" x14ac:dyDescent="0.25">
      <c r="A404" s="3" t="s">
        <v>1371</v>
      </c>
      <c r="B404" s="10" t="s">
        <v>1351</v>
      </c>
      <c r="C404" s="3" t="str">
        <f>("755133")</f>
        <v>755133</v>
      </c>
      <c r="D404" s="11" t="str">
        <f>("662671190758")</f>
        <v>662671190758</v>
      </c>
      <c r="E404" s="3">
        <v>192344</v>
      </c>
      <c r="F404" s="8" t="s">
        <v>442</v>
      </c>
      <c r="G404" s="14">
        <v>1020.2892996381538</v>
      </c>
      <c r="H404" s="35">
        <v>45689</v>
      </c>
      <c r="I404" s="3">
        <v>5.17</v>
      </c>
      <c r="J404" s="3" t="s">
        <v>3</v>
      </c>
      <c r="K404" s="11" t="str">
        <f>("10662671190755")</f>
        <v>10662671190755</v>
      </c>
      <c r="L404" s="3">
        <v>4</v>
      </c>
      <c r="M404" s="3">
        <v>72</v>
      </c>
    </row>
    <row r="405" spans="1:13" x14ac:dyDescent="0.25">
      <c r="A405" s="3" t="s">
        <v>1371</v>
      </c>
      <c r="B405" s="10" t="s">
        <v>1351</v>
      </c>
      <c r="C405" s="3" t="str">
        <f>("626093")</f>
        <v>626093</v>
      </c>
      <c r="D405" s="11" t="str">
        <f>("622454868441")</f>
        <v>622454868441</v>
      </c>
      <c r="E405" s="3">
        <v>192333</v>
      </c>
      <c r="F405" s="8" t="s">
        <v>443</v>
      </c>
      <c r="G405" s="14">
        <v>2151.2967659870055</v>
      </c>
      <c r="H405" s="35">
        <v>45689</v>
      </c>
      <c r="I405" s="3">
        <v>8.6859999999999999</v>
      </c>
      <c r="J405" s="3" t="s">
        <v>3</v>
      </c>
      <c r="K405" s="11" t="str">
        <f>("10622454868448")</f>
        <v>10622454868448</v>
      </c>
      <c r="L405" s="3">
        <v>27</v>
      </c>
      <c r="M405" s="3"/>
    </row>
    <row r="406" spans="1:13" x14ac:dyDescent="0.25">
      <c r="A406" s="3" t="s">
        <v>1371</v>
      </c>
      <c r="B406" s="10" t="s">
        <v>1351</v>
      </c>
      <c r="C406" s="3" t="str">
        <f>("626095")</f>
        <v>626095</v>
      </c>
      <c r="D406" s="11" t="str">
        <f>("622454868465")</f>
        <v>622454868465</v>
      </c>
      <c r="E406" s="3">
        <v>192334</v>
      </c>
      <c r="F406" s="8" t="s">
        <v>444</v>
      </c>
      <c r="G406" s="14">
        <v>2218.1584645975022</v>
      </c>
      <c r="H406" s="35">
        <v>45689</v>
      </c>
      <c r="I406" s="3">
        <v>11.356</v>
      </c>
      <c r="J406" s="3" t="s">
        <v>3</v>
      </c>
      <c r="K406" s="11" t="str">
        <f>("10622454868462")</f>
        <v>10622454868462</v>
      </c>
      <c r="L406" s="3">
        <v>18</v>
      </c>
      <c r="M406" s="3"/>
    </row>
    <row r="407" spans="1:13" x14ac:dyDescent="0.25">
      <c r="A407" s="3" t="s">
        <v>1371</v>
      </c>
      <c r="B407" s="10" t="s">
        <v>1351</v>
      </c>
      <c r="C407" s="3" t="str">
        <f>("226116")</f>
        <v>226116</v>
      </c>
      <c r="D407" s="11" t="str">
        <f>("622454875654")</f>
        <v>622454875654</v>
      </c>
      <c r="E407" s="3">
        <v>192338</v>
      </c>
      <c r="F407" s="8" t="s">
        <v>445</v>
      </c>
      <c r="G407" s="14">
        <v>2728.508256599474</v>
      </c>
      <c r="H407" s="35">
        <v>45689</v>
      </c>
      <c r="I407" s="3">
        <v>28.001000000000001</v>
      </c>
      <c r="J407" s="3" t="s">
        <v>149</v>
      </c>
      <c r="K407" s="11" t="str">
        <f>("00622454875654")</f>
        <v>00622454875654</v>
      </c>
      <c r="L407" s="3">
        <v>1</v>
      </c>
      <c r="M407" s="3">
        <v>10</v>
      </c>
    </row>
    <row r="408" spans="1:13" x14ac:dyDescent="0.25">
      <c r="A408" s="3" t="s">
        <v>1371</v>
      </c>
      <c r="B408" s="10" t="s">
        <v>1351</v>
      </c>
      <c r="C408" s="3" t="str">
        <f>("295196")</f>
        <v>295196</v>
      </c>
      <c r="D408" s="11" t="str">
        <f>("622454611504")</f>
        <v>622454611504</v>
      </c>
      <c r="E408" s="3"/>
      <c r="F408" s="8" t="s">
        <v>446</v>
      </c>
      <c r="G408" s="14">
        <v>1162.2792451716225</v>
      </c>
      <c r="H408" s="35">
        <v>45689</v>
      </c>
      <c r="I408" s="3">
        <v>17.648</v>
      </c>
      <c r="J408" s="3" t="s">
        <v>10</v>
      </c>
      <c r="K408" s="11" t="str">
        <f>("10622454611501")</f>
        <v>10622454611501</v>
      </c>
      <c r="L408" s="3">
        <v>11</v>
      </c>
      <c r="M408" s="3"/>
    </row>
    <row r="409" spans="1:13" x14ac:dyDescent="0.25">
      <c r="A409" s="3" t="s">
        <v>1371</v>
      </c>
      <c r="B409" s="10" t="s">
        <v>1351</v>
      </c>
      <c r="C409" s="3" t="str">
        <f>("295199")</f>
        <v>295199</v>
      </c>
      <c r="D409" s="11" t="str">
        <f>("622454611535")</f>
        <v>622454611535</v>
      </c>
      <c r="E409" s="3"/>
      <c r="F409" s="8" t="s">
        <v>447</v>
      </c>
      <c r="G409" s="14">
        <v>1401.428771743382</v>
      </c>
      <c r="H409" s="35">
        <v>45689</v>
      </c>
      <c r="I409" s="3">
        <v>24.372</v>
      </c>
      <c r="J409" s="3" t="s">
        <v>10</v>
      </c>
      <c r="K409" s="11" t="str">
        <f>("20622454611539")</f>
        <v>20622454611539</v>
      </c>
      <c r="L409" s="3">
        <v>9</v>
      </c>
      <c r="M409" s="3"/>
    </row>
    <row r="410" spans="1:13" x14ac:dyDescent="0.25">
      <c r="A410" s="3" t="s">
        <v>1371</v>
      </c>
      <c r="B410" s="10" t="s">
        <v>1351</v>
      </c>
      <c r="C410" s="3" t="str">
        <f>("295201")</f>
        <v>295201</v>
      </c>
      <c r="D410" s="11" t="str">
        <f>("622454611559")</f>
        <v>622454611559</v>
      </c>
      <c r="E410" s="3"/>
      <c r="F410" s="8" t="s">
        <v>448</v>
      </c>
      <c r="G410" s="14">
        <v>1717.6749003082386</v>
      </c>
      <c r="H410" s="35">
        <v>45689</v>
      </c>
      <c r="I410" s="3">
        <v>29.088000000000001</v>
      </c>
      <c r="J410" s="3" t="s">
        <v>10</v>
      </c>
      <c r="K410" s="11" t="str">
        <f>("10622454611556")</f>
        <v>10622454611556</v>
      </c>
      <c r="L410" s="3">
        <v>6</v>
      </c>
      <c r="M410" s="3"/>
    </row>
    <row r="411" spans="1:13" x14ac:dyDescent="0.25">
      <c r="A411" s="3" t="s">
        <v>1371</v>
      </c>
      <c r="B411" s="10" t="s">
        <v>1351</v>
      </c>
      <c r="C411" s="3" t="str">
        <f>("295203")</f>
        <v>295203</v>
      </c>
      <c r="D411" s="11" t="str">
        <f>("622454611573")</f>
        <v>622454611573</v>
      </c>
      <c r="E411" s="3"/>
      <c r="F411" s="8" t="s">
        <v>449</v>
      </c>
      <c r="G411" s="14">
        <v>1379.8914153155079</v>
      </c>
      <c r="H411" s="35">
        <v>45689</v>
      </c>
      <c r="I411" s="3">
        <v>24.837</v>
      </c>
      <c r="J411" s="3" t="s">
        <v>10</v>
      </c>
      <c r="K411" s="11" t="str">
        <f>("10622454611570")</f>
        <v>10622454611570</v>
      </c>
      <c r="L411" s="3">
        <v>6</v>
      </c>
      <c r="M411" s="3"/>
    </row>
    <row r="412" spans="1:13" x14ac:dyDescent="0.25">
      <c r="A412" s="3" t="s">
        <v>1371</v>
      </c>
      <c r="B412" s="10" t="s">
        <v>1351</v>
      </c>
      <c r="C412" s="3" t="str">
        <f>("295205")</f>
        <v>295205</v>
      </c>
      <c r="D412" s="11" t="str">
        <f>("622454611597")</f>
        <v>622454611597</v>
      </c>
      <c r="E412" s="3"/>
      <c r="F412" s="8" t="s">
        <v>450</v>
      </c>
      <c r="G412" s="14">
        <v>1644.3052080796449</v>
      </c>
      <c r="H412" s="35">
        <v>45689</v>
      </c>
      <c r="I412" s="3">
        <v>30.533999999999999</v>
      </c>
      <c r="J412" s="3" t="s">
        <v>10</v>
      </c>
      <c r="K412" s="11" t="str">
        <f>("10622454611594")</f>
        <v>10622454611594</v>
      </c>
      <c r="L412" s="3">
        <v>6</v>
      </c>
      <c r="M412" s="3"/>
    </row>
    <row r="413" spans="1:13" x14ac:dyDescent="0.25">
      <c r="A413" s="3" t="s">
        <v>1371</v>
      </c>
      <c r="B413" s="10" t="s">
        <v>1351</v>
      </c>
      <c r="C413" s="3" t="str">
        <f>("295208")</f>
        <v>295208</v>
      </c>
      <c r="D413" s="11" t="str">
        <f>("622454611627")</f>
        <v>622454611627</v>
      </c>
      <c r="E413" s="3"/>
      <c r="F413" s="8" t="s">
        <v>451</v>
      </c>
      <c r="G413" s="14">
        <v>1827.0221867981295</v>
      </c>
      <c r="H413" s="35">
        <v>45689</v>
      </c>
      <c r="I413" s="3">
        <v>39.854999999999997</v>
      </c>
      <c r="J413" s="3" t="s">
        <v>10</v>
      </c>
      <c r="K413" s="11" t="str">
        <f>("10622454611624")</f>
        <v>10622454611624</v>
      </c>
      <c r="L413" s="3">
        <v>4</v>
      </c>
      <c r="M413" s="3"/>
    </row>
    <row r="414" spans="1:13" x14ac:dyDescent="0.25">
      <c r="A414" s="3" t="s">
        <v>1371</v>
      </c>
      <c r="B414" s="10" t="s">
        <v>1351</v>
      </c>
      <c r="C414" s="3" t="str">
        <f>("295210")</f>
        <v>295210</v>
      </c>
      <c r="D414" s="11" t="str">
        <f>("622454611641")</f>
        <v>622454611641</v>
      </c>
      <c r="E414" s="3"/>
      <c r="F414" s="8" t="s">
        <v>452</v>
      </c>
      <c r="G414" s="14">
        <v>2146.9583250308115</v>
      </c>
      <c r="H414" s="35">
        <v>45689</v>
      </c>
      <c r="I414" s="3">
        <v>46.104999999999997</v>
      </c>
      <c r="J414" s="3" t="s">
        <v>10</v>
      </c>
      <c r="K414" s="11" t="str">
        <f>("10622454611648")</f>
        <v>10622454611648</v>
      </c>
      <c r="L414" s="3">
        <v>4</v>
      </c>
      <c r="M414" s="3"/>
    </row>
    <row r="415" spans="1:13" x14ac:dyDescent="0.25">
      <c r="A415" s="3" t="s">
        <v>1371</v>
      </c>
      <c r="B415" s="10" t="s">
        <v>1351</v>
      </c>
      <c r="C415" s="3" t="str">
        <f>("295212")</f>
        <v>295212</v>
      </c>
      <c r="D415" s="11" t="str">
        <f>("622454611665")</f>
        <v>622454611665</v>
      </c>
      <c r="E415" s="3"/>
      <c r="F415" s="8" t="s">
        <v>453</v>
      </c>
      <c r="G415" s="14">
        <v>2781.4431873811509</v>
      </c>
      <c r="H415" s="35">
        <v>45689</v>
      </c>
      <c r="I415" s="3">
        <v>32.399000000000001</v>
      </c>
      <c r="J415" s="3" t="s">
        <v>10</v>
      </c>
      <c r="K415" s="11" t="str">
        <f>("00622454611665")</f>
        <v>00622454611665</v>
      </c>
      <c r="L415" s="3">
        <v>1</v>
      </c>
      <c r="M415" s="3"/>
    </row>
    <row r="416" spans="1:13" x14ac:dyDescent="0.25">
      <c r="A416" s="3" t="s">
        <v>1371</v>
      </c>
      <c r="B416" s="10" t="s">
        <v>1351</v>
      </c>
      <c r="C416" s="3" t="str">
        <f>("295214")</f>
        <v>295214</v>
      </c>
      <c r="D416" s="11" t="str">
        <f>("622454611689")</f>
        <v>622454611689</v>
      </c>
      <c r="E416" s="3"/>
      <c r="F416" s="8" t="s">
        <v>454</v>
      </c>
      <c r="G416" s="14">
        <v>3002.1549656460102</v>
      </c>
      <c r="H416" s="35">
        <v>45689</v>
      </c>
      <c r="I416" s="3">
        <v>39.575000000000003</v>
      </c>
      <c r="J416" s="3" t="s">
        <v>10</v>
      </c>
      <c r="K416" s="11" t="str">
        <f>("00622454611689")</f>
        <v>00622454611689</v>
      </c>
      <c r="L416" s="3">
        <v>1</v>
      </c>
      <c r="M416" s="3"/>
    </row>
    <row r="417" spans="1:13" x14ac:dyDescent="0.25">
      <c r="A417" s="3" t="s">
        <v>1371</v>
      </c>
      <c r="B417" s="10" t="s">
        <v>1351</v>
      </c>
      <c r="C417" s="3" t="str">
        <f>("295216")</f>
        <v>295216</v>
      </c>
      <c r="D417" s="11" t="str">
        <f>("622454611702")</f>
        <v>622454611702</v>
      </c>
      <c r="E417" s="3"/>
      <c r="F417" s="8" t="s">
        <v>455</v>
      </c>
      <c r="G417" s="14">
        <v>3435.5097010354166</v>
      </c>
      <c r="H417" s="35">
        <v>45689</v>
      </c>
      <c r="I417" s="3">
        <v>51.01</v>
      </c>
      <c r="J417" s="3" t="s">
        <v>10</v>
      </c>
      <c r="K417" s="11" t="str">
        <f>("10622454611709")</f>
        <v>10622454611709</v>
      </c>
      <c r="L417" s="3">
        <v>5</v>
      </c>
      <c r="M417" s="3"/>
    </row>
    <row r="418" spans="1:13" x14ac:dyDescent="0.25">
      <c r="A418" s="3" t="s">
        <v>1371</v>
      </c>
      <c r="B418" s="10" t="s">
        <v>1351</v>
      </c>
      <c r="C418" s="3" t="str">
        <f>("295218")</f>
        <v>295218</v>
      </c>
      <c r="D418" s="11" t="str">
        <f>("622454611726")</f>
        <v>622454611726</v>
      </c>
      <c r="E418" s="3"/>
      <c r="F418" s="8" t="s">
        <v>456</v>
      </c>
      <c r="G418" s="14">
        <v>3672.4083217098032</v>
      </c>
      <c r="H418" s="35">
        <v>45689</v>
      </c>
      <c r="I418" s="3">
        <v>57.258000000000003</v>
      </c>
      <c r="J418" s="3" t="s">
        <v>10</v>
      </c>
      <c r="K418" s="11" t="str">
        <f>("00622454611726")</f>
        <v>00622454611726</v>
      </c>
      <c r="L418" s="3">
        <v>1</v>
      </c>
      <c r="M418" s="3"/>
    </row>
    <row r="419" spans="1:13" x14ac:dyDescent="0.25">
      <c r="A419" s="3" t="s">
        <v>1371</v>
      </c>
      <c r="B419" s="10" t="s">
        <v>1351</v>
      </c>
      <c r="C419" s="3" t="str">
        <f>("295220")</f>
        <v>295220</v>
      </c>
      <c r="D419" s="11" t="str">
        <f>("622454611740")</f>
        <v>622454611740</v>
      </c>
      <c r="E419" s="3"/>
      <c r="F419" s="8" t="s">
        <v>457</v>
      </c>
      <c r="G419" s="14">
        <v>4695.315901727663</v>
      </c>
      <c r="H419" s="35">
        <v>45689</v>
      </c>
      <c r="I419" s="3">
        <v>65.563000000000002</v>
      </c>
      <c r="J419" s="3" t="s">
        <v>10</v>
      </c>
      <c r="K419" s="11" t="str">
        <f>("00622454611740")</f>
        <v>00622454611740</v>
      </c>
      <c r="L419" s="3">
        <v>1</v>
      </c>
      <c r="M419" s="3"/>
    </row>
    <row r="420" spans="1:13" x14ac:dyDescent="0.25">
      <c r="A420" s="3" t="s">
        <v>1371</v>
      </c>
      <c r="B420" s="10" t="s">
        <v>1351</v>
      </c>
      <c r="C420" s="3" t="str">
        <f>("295222")</f>
        <v>295222</v>
      </c>
      <c r="D420" s="11" t="str">
        <f>("622454611764")</f>
        <v>622454611764</v>
      </c>
      <c r="E420" s="3"/>
      <c r="F420" s="8" t="s">
        <v>458</v>
      </c>
      <c r="G420" s="14">
        <v>3277.8355879292403</v>
      </c>
      <c r="H420" s="35">
        <v>45689</v>
      </c>
      <c r="I420" s="3">
        <v>47.298000000000002</v>
      </c>
      <c r="J420" s="3" t="s">
        <v>10</v>
      </c>
      <c r="K420" s="11" t="str">
        <f>("00622454611764")</f>
        <v>00622454611764</v>
      </c>
      <c r="L420" s="3">
        <v>1</v>
      </c>
      <c r="M420" s="3"/>
    </row>
    <row r="421" spans="1:13" x14ac:dyDescent="0.25">
      <c r="A421" s="3" t="s">
        <v>1371</v>
      </c>
      <c r="B421" s="10" t="s">
        <v>1351</v>
      </c>
      <c r="C421" s="3" t="str">
        <f>("295224")</f>
        <v>295224</v>
      </c>
      <c r="D421" s="11" t="str">
        <f>("622454611788")</f>
        <v>622454611788</v>
      </c>
      <c r="E421" s="3"/>
      <c r="F421" s="8" t="s">
        <v>459</v>
      </c>
      <c r="G421" s="14">
        <v>3527.7107426021457</v>
      </c>
      <c r="H421" s="35">
        <v>45689</v>
      </c>
      <c r="I421" s="3">
        <v>57.674999999999997</v>
      </c>
      <c r="J421" s="3" t="s">
        <v>10</v>
      </c>
      <c r="K421" s="11" t="str">
        <f>("10622454611785")</f>
        <v>10622454611785</v>
      </c>
      <c r="L421" s="3">
        <v>4</v>
      </c>
      <c r="M421" s="3">
        <v>4</v>
      </c>
    </row>
    <row r="422" spans="1:13" x14ac:dyDescent="0.25">
      <c r="A422" s="3" t="s">
        <v>1371</v>
      </c>
      <c r="B422" s="10" t="s">
        <v>1351</v>
      </c>
      <c r="C422" s="3" t="str">
        <f>("295226")</f>
        <v>295226</v>
      </c>
      <c r="D422" s="11" t="str">
        <f>("622454611801")</f>
        <v>622454611801</v>
      </c>
      <c r="E422" s="3"/>
      <c r="F422" s="8" t="s">
        <v>460</v>
      </c>
      <c r="G422" s="14">
        <v>4022.4918389286177</v>
      </c>
      <c r="H422" s="35">
        <v>45689</v>
      </c>
      <c r="I422" s="3">
        <v>63.37</v>
      </c>
      <c r="J422" s="3" t="s">
        <v>10</v>
      </c>
      <c r="K422" s="11" t="str">
        <f>("10622454611808")</f>
        <v>10622454611808</v>
      </c>
      <c r="L422" s="3">
        <v>2</v>
      </c>
      <c r="M422" s="3"/>
    </row>
    <row r="423" spans="1:13" x14ac:dyDescent="0.25">
      <c r="A423" s="3" t="s">
        <v>1371</v>
      </c>
      <c r="B423" s="10" t="s">
        <v>1351</v>
      </c>
      <c r="C423" s="3" t="str">
        <f>("295228")</f>
        <v>295228</v>
      </c>
      <c r="D423" s="11" t="str">
        <f>("622454611825")</f>
        <v>622454611825</v>
      </c>
      <c r="E423" s="3"/>
      <c r="F423" s="8" t="s">
        <v>461</v>
      </c>
      <c r="G423" s="14">
        <v>4832.2644605328869</v>
      </c>
      <c r="H423" s="35">
        <v>45689</v>
      </c>
      <c r="I423" s="3">
        <v>80.129000000000005</v>
      </c>
      <c r="J423" s="3" t="s">
        <v>10</v>
      </c>
      <c r="K423" s="11" t="str">
        <f>("00622454611825")</f>
        <v>00622454611825</v>
      </c>
      <c r="L423" s="3">
        <v>1</v>
      </c>
      <c r="M423" s="3"/>
    </row>
    <row r="424" spans="1:13" x14ac:dyDescent="0.25">
      <c r="A424" s="3" t="s">
        <v>1371</v>
      </c>
      <c r="B424" s="10" t="s">
        <v>1351</v>
      </c>
      <c r="C424" s="3" t="str">
        <f>("295230")</f>
        <v>295230</v>
      </c>
      <c r="D424" s="11" t="str">
        <f>("622454611849")</f>
        <v>622454611849</v>
      </c>
      <c r="E424" s="3"/>
      <c r="F424" s="8" t="s">
        <v>462</v>
      </c>
      <c r="G424" s="14">
        <v>5262.5810879624514</v>
      </c>
      <c r="H424" s="35">
        <v>45689</v>
      </c>
      <c r="I424" s="3">
        <v>88.546000000000006</v>
      </c>
      <c r="J424" s="3" t="s">
        <v>10</v>
      </c>
      <c r="K424" s="11" t="str">
        <f>("20622454611843")</f>
        <v>20622454611843</v>
      </c>
      <c r="L424" s="3">
        <v>4</v>
      </c>
      <c r="M424" s="3">
        <v>4</v>
      </c>
    </row>
    <row r="425" spans="1:13" x14ac:dyDescent="0.25">
      <c r="A425" s="3" t="s">
        <v>1371</v>
      </c>
      <c r="B425" s="10" t="s">
        <v>1351</v>
      </c>
      <c r="C425" s="3" t="str">
        <f>("295232")</f>
        <v>295232</v>
      </c>
      <c r="D425" s="11" t="str">
        <f>("622454611863")</f>
        <v>622454611863</v>
      </c>
      <c r="E425" s="3"/>
      <c r="F425" s="8" t="s">
        <v>463</v>
      </c>
      <c r="G425" s="14">
        <v>6377.2346083546727</v>
      </c>
      <c r="H425" s="35">
        <v>45689</v>
      </c>
      <c r="I425" s="3">
        <v>89.28</v>
      </c>
      <c r="J425" s="3" t="s">
        <v>10</v>
      </c>
      <c r="K425" s="11" t="str">
        <f>("00622454611863")</f>
        <v>00622454611863</v>
      </c>
      <c r="L425" s="3">
        <v>1</v>
      </c>
      <c r="M425" s="3"/>
    </row>
    <row r="426" spans="1:13" x14ac:dyDescent="0.25">
      <c r="A426" s="3" t="s">
        <v>1371</v>
      </c>
      <c r="B426" s="10" t="s">
        <v>1351</v>
      </c>
      <c r="C426" s="3" t="str">
        <f>("295234")</f>
        <v>295234</v>
      </c>
      <c r="D426" s="11" t="str">
        <f>("622454611887")</f>
        <v>622454611887</v>
      </c>
      <c r="E426" s="3"/>
      <c r="F426" s="8" t="s">
        <v>464</v>
      </c>
      <c r="G426" s="14">
        <v>5255.6807698836164</v>
      </c>
      <c r="H426" s="35">
        <v>45689</v>
      </c>
      <c r="I426" s="3">
        <v>59.332999999999998</v>
      </c>
      <c r="J426" s="3" t="s">
        <v>10</v>
      </c>
      <c r="K426" s="11" t="str">
        <f>("00622454611887")</f>
        <v>00622454611887</v>
      </c>
      <c r="L426" s="3">
        <v>1</v>
      </c>
      <c r="M426" s="3"/>
    </row>
    <row r="427" spans="1:13" x14ac:dyDescent="0.25">
      <c r="A427" s="3" t="s">
        <v>1371</v>
      </c>
      <c r="B427" s="10" t="s">
        <v>1351</v>
      </c>
      <c r="C427" s="3" t="str">
        <f>("295236")</f>
        <v>295236</v>
      </c>
      <c r="D427" s="11" t="str">
        <f>("622454611900")</f>
        <v>622454611900</v>
      </c>
      <c r="E427" s="3"/>
      <c r="F427" s="8" t="s">
        <v>465</v>
      </c>
      <c r="G427" s="14">
        <v>5340.3295916635307</v>
      </c>
      <c r="H427" s="35">
        <v>45689</v>
      </c>
      <c r="I427" s="3">
        <v>71.843999999999994</v>
      </c>
      <c r="J427" s="3" t="s">
        <v>10</v>
      </c>
      <c r="K427" s="11" t="str">
        <f>("20622454611904")</f>
        <v>20622454611904</v>
      </c>
      <c r="L427" s="3">
        <v>2</v>
      </c>
      <c r="M427" s="3">
        <v>4</v>
      </c>
    </row>
    <row r="428" spans="1:13" x14ac:dyDescent="0.25">
      <c r="A428" s="3" t="s">
        <v>1371</v>
      </c>
      <c r="B428" s="10" t="s">
        <v>1351</v>
      </c>
      <c r="C428" s="3" t="str">
        <f>("295238")</f>
        <v>295238</v>
      </c>
      <c r="D428" s="11" t="str">
        <f>("622454611924")</f>
        <v>622454611924</v>
      </c>
      <c r="E428" s="3"/>
      <c r="F428" s="8" t="s">
        <v>466</v>
      </c>
      <c r="G428" s="14">
        <v>5514.3750476626255</v>
      </c>
      <c r="H428" s="35">
        <v>45689</v>
      </c>
      <c r="I428" s="3">
        <v>76.590999999999994</v>
      </c>
      <c r="J428" s="3" t="s">
        <v>10</v>
      </c>
      <c r="K428" s="11" t="str">
        <f>("10622454611921")</f>
        <v>10622454611921</v>
      </c>
      <c r="L428" s="3">
        <v>2</v>
      </c>
      <c r="M428" s="3"/>
    </row>
    <row r="429" spans="1:13" x14ac:dyDescent="0.25">
      <c r="A429" s="3" t="s">
        <v>1371</v>
      </c>
      <c r="B429" s="10" t="s">
        <v>1351</v>
      </c>
      <c r="C429" s="3" t="str">
        <f>("295240")</f>
        <v>295240</v>
      </c>
      <c r="D429" s="11" t="str">
        <f>("622454611948")</f>
        <v>622454611948</v>
      </c>
      <c r="E429" s="3"/>
      <c r="F429" s="8" t="s">
        <v>467</v>
      </c>
      <c r="G429" s="14">
        <v>5866.512670263196</v>
      </c>
      <c r="H429" s="35">
        <v>45689</v>
      </c>
      <c r="I429" s="3">
        <v>97.131</v>
      </c>
      <c r="J429" s="3" t="s">
        <v>10</v>
      </c>
      <c r="K429" s="11" t="str">
        <f>("00622454611948")</f>
        <v>00622454611948</v>
      </c>
      <c r="L429" s="3">
        <v>1</v>
      </c>
      <c r="M429" s="3"/>
    </row>
    <row r="430" spans="1:13" x14ac:dyDescent="0.25">
      <c r="A430" s="3" t="s">
        <v>1371</v>
      </c>
      <c r="B430" s="10" t="s">
        <v>1351</v>
      </c>
      <c r="C430" s="3" t="str">
        <f>("295242")</f>
        <v>295242</v>
      </c>
      <c r="D430" s="11" t="str">
        <f>("622454611962")</f>
        <v>622454611962</v>
      </c>
      <c r="E430" s="3"/>
      <c r="F430" s="8" t="s">
        <v>468</v>
      </c>
      <c r="G430" s="14">
        <v>6424.9587333918807</v>
      </c>
      <c r="H430" s="35">
        <v>45689</v>
      </c>
      <c r="I430" s="3">
        <v>105.54600000000001</v>
      </c>
      <c r="J430" s="3" t="s">
        <v>10</v>
      </c>
      <c r="K430" s="11" t="str">
        <f>("10622454611969")</f>
        <v>10622454611969</v>
      </c>
      <c r="L430" s="3">
        <v>4</v>
      </c>
      <c r="M430" s="3">
        <v>4</v>
      </c>
    </row>
    <row r="431" spans="1:13" x14ac:dyDescent="0.25">
      <c r="A431" s="3" t="s">
        <v>1371</v>
      </c>
      <c r="B431" s="10" t="s">
        <v>1351</v>
      </c>
      <c r="C431" s="3" t="str">
        <f>("295244")</f>
        <v>295244</v>
      </c>
      <c r="D431" s="11" t="str">
        <f>("622454611986")</f>
        <v>622454611986</v>
      </c>
      <c r="E431" s="3"/>
      <c r="F431" s="8" t="s">
        <v>469</v>
      </c>
      <c r="G431" s="14">
        <v>7024.0933031244531</v>
      </c>
      <c r="H431" s="35">
        <v>45689</v>
      </c>
      <c r="I431" s="3">
        <v>132.96700000000001</v>
      </c>
      <c r="J431" s="3" t="s">
        <v>10</v>
      </c>
      <c r="K431" s="11" t="str">
        <f>("10622454611983")</f>
        <v>10622454611983</v>
      </c>
      <c r="L431" s="3">
        <v>2</v>
      </c>
      <c r="M431" s="3">
        <v>2</v>
      </c>
    </row>
    <row r="432" spans="1:13" x14ac:dyDescent="0.25">
      <c r="A432" s="3" t="s">
        <v>1371</v>
      </c>
      <c r="B432" s="10" t="s">
        <v>1351</v>
      </c>
      <c r="C432" s="3" t="str">
        <f>("295246")</f>
        <v>295246</v>
      </c>
      <c r="D432" s="11" t="str">
        <f>("622454612051")</f>
        <v>622454612051</v>
      </c>
      <c r="E432" s="3"/>
      <c r="F432" s="8" t="s">
        <v>470</v>
      </c>
      <c r="G432" s="14">
        <v>7446.9561110250106</v>
      </c>
      <c r="H432" s="35">
        <v>45689</v>
      </c>
      <c r="I432" s="3">
        <v>152.77799999999999</v>
      </c>
      <c r="J432" s="3" t="s">
        <v>10</v>
      </c>
      <c r="K432" s="11" t="str">
        <f>("00622454612051")</f>
        <v>00622454612051</v>
      </c>
      <c r="L432" s="3">
        <v>1</v>
      </c>
      <c r="M432" s="3"/>
    </row>
    <row r="433" spans="1:13" x14ac:dyDescent="0.25">
      <c r="A433" s="3" t="s">
        <v>1371</v>
      </c>
      <c r="B433" s="10" t="s">
        <v>1351</v>
      </c>
      <c r="C433" s="3" t="str">
        <f>("295248")</f>
        <v>295248</v>
      </c>
      <c r="D433" s="11" t="str">
        <f>("622454612150")</f>
        <v>622454612150</v>
      </c>
      <c r="E433" s="3"/>
      <c r="F433" s="8" t="s">
        <v>471</v>
      </c>
      <c r="G433" s="14">
        <v>6090.3486567134805</v>
      </c>
      <c r="H433" s="35">
        <v>45689</v>
      </c>
      <c r="I433" s="3">
        <v>80.418000000000006</v>
      </c>
      <c r="J433" s="3" t="s">
        <v>10</v>
      </c>
      <c r="K433" s="11" t="str">
        <f>("00622454612150")</f>
        <v>00622454612150</v>
      </c>
      <c r="L433" s="3">
        <v>1</v>
      </c>
      <c r="M433" s="3"/>
    </row>
    <row r="434" spans="1:13" x14ac:dyDescent="0.25">
      <c r="A434" s="3" t="s">
        <v>1371</v>
      </c>
      <c r="B434" s="10" t="s">
        <v>1351</v>
      </c>
      <c r="C434" s="3" t="str">
        <f>("295250")</f>
        <v>295250</v>
      </c>
      <c r="D434" s="11" t="str">
        <f>("622454612174")</f>
        <v>622454612174</v>
      </c>
      <c r="E434" s="3"/>
      <c r="F434" s="8" t="s">
        <v>472</v>
      </c>
      <c r="G434" s="14">
        <v>6112.4887147204317</v>
      </c>
      <c r="H434" s="35">
        <v>45689</v>
      </c>
      <c r="I434" s="3">
        <v>98.95</v>
      </c>
      <c r="J434" s="3" t="s">
        <v>10</v>
      </c>
      <c r="K434" s="11" t="str">
        <f>("00622454612174")</f>
        <v>00622454612174</v>
      </c>
      <c r="L434" s="3">
        <v>1</v>
      </c>
      <c r="M434" s="3"/>
    </row>
    <row r="435" spans="1:13" x14ac:dyDescent="0.25">
      <c r="A435" s="3" t="s">
        <v>1371</v>
      </c>
      <c r="B435" s="10" t="s">
        <v>1351</v>
      </c>
      <c r="C435" s="3" t="str">
        <f>("295252")</f>
        <v>295252</v>
      </c>
      <c r="D435" s="11" t="str">
        <f>("622454612198")</f>
        <v>622454612198</v>
      </c>
      <c r="E435" s="3"/>
      <c r="F435" s="8" t="s">
        <v>473</v>
      </c>
      <c r="G435" s="14">
        <v>6561.9318922615566</v>
      </c>
      <c r="H435" s="35">
        <v>45689</v>
      </c>
      <c r="I435" s="3">
        <v>104.77500000000001</v>
      </c>
      <c r="J435" s="3" t="s">
        <v>10</v>
      </c>
      <c r="K435" s="11" t="str">
        <f>("10622454612195")</f>
        <v>10622454612195</v>
      </c>
      <c r="L435" s="3">
        <v>3</v>
      </c>
      <c r="M435" s="3">
        <v>3</v>
      </c>
    </row>
    <row r="436" spans="1:13" x14ac:dyDescent="0.25">
      <c r="A436" s="3" t="s">
        <v>1371</v>
      </c>
      <c r="B436" s="10" t="s">
        <v>1351</v>
      </c>
      <c r="C436" s="3" t="str">
        <f>("295254")</f>
        <v>295254</v>
      </c>
      <c r="D436" s="11" t="str">
        <f>("622454612228")</f>
        <v>622454612228</v>
      </c>
      <c r="E436" s="3"/>
      <c r="F436" s="8" t="s">
        <v>474</v>
      </c>
      <c r="G436" s="14">
        <v>6790.8231919567625</v>
      </c>
      <c r="H436" s="35">
        <v>45689</v>
      </c>
      <c r="I436" s="3">
        <v>110.875</v>
      </c>
      <c r="J436" s="3" t="s">
        <v>10</v>
      </c>
      <c r="K436" s="11" t="str">
        <f>("00622454612228")</f>
        <v>00622454612228</v>
      </c>
      <c r="L436" s="3">
        <v>1</v>
      </c>
      <c r="M436" s="3"/>
    </row>
    <row r="437" spans="1:13" x14ac:dyDescent="0.25">
      <c r="A437" s="3" t="s">
        <v>1371</v>
      </c>
      <c r="B437" s="10" t="s">
        <v>1351</v>
      </c>
      <c r="C437" s="3" t="str">
        <f>("295256")</f>
        <v>295256</v>
      </c>
      <c r="D437" s="11" t="str">
        <f>("622454612242")</f>
        <v>622454612242</v>
      </c>
      <c r="E437" s="3"/>
      <c r="F437" s="8" t="s">
        <v>475</v>
      </c>
      <c r="G437" s="14">
        <v>7665.7736843270523</v>
      </c>
      <c r="H437" s="35">
        <v>45689</v>
      </c>
      <c r="I437" s="3">
        <v>142.62799999999999</v>
      </c>
      <c r="J437" s="3" t="s">
        <v>10</v>
      </c>
      <c r="K437" s="11" t="str">
        <f>("00622454612242")</f>
        <v>00622454612242</v>
      </c>
      <c r="L437" s="3">
        <v>1</v>
      </c>
      <c r="M437" s="3"/>
    </row>
    <row r="438" spans="1:13" x14ac:dyDescent="0.25">
      <c r="A438" s="3" t="s">
        <v>1371</v>
      </c>
      <c r="B438" s="10" t="s">
        <v>1351</v>
      </c>
      <c r="C438" s="3" t="str">
        <f>("295258")</f>
        <v>295258</v>
      </c>
      <c r="D438" s="11" t="str">
        <f>("622454612266")</f>
        <v>622454612266</v>
      </c>
      <c r="E438" s="3"/>
      <c r="F438" s="8" t="s">
        <v>476</v>
      </c>
      <c r="G438" s="14">
        <v>8916.1334602696643</v>
      </c>
      <c r="H438" s="35">
        <v>45689</v>
      </c>
      <c r="I438" s="3">
        <v>163.49</v>
      </c>
      <c r="J438" s="3" t="s">
        <v>10</v>
      </c>
      <c r="K438" s="11" t="str">
        <f>("00622454612266")</f>
        <v>00622454612266</v>
      </c>
      <c r="L438" s="3">
        <v>1</v>
      </c>
      <c r="M438" s="3"/>
    </row>
    <row r="439" spans="1:13" x14ac:dyDescent="0.25">
      <c r="A439" s="3" t="s">
        <v>1371</v>
      </c>
      <c r="B439" s="10" t="s">
        <v>1351</v>
      </c>
      <c r="C439" s="3" t="str">
        <f>("295260")</f>
        <v>295260</v>
      </c>
      <c r="D439" s="11" t="str">
        <f>("622454612297")</f>
        <v>622454612297</v>
      </c>
      <c r="E439" s="3"/>
      <c r="F439" s="8" t="s">
        <v>477</v>
      </c>
      <c r="G439" s="14">
        <v>9792.4246561525979</v>
      </c>
      <c r="H439" s="35">
        <v>45689</v>
      </c>
      <c r="I439" s="3">
        <v>169.96100000000001</v>
      </c>
      <c r="J439" s="3" t="s">
        <v>10</v>
      </c>
      <c r="K439" s="11" t="str">
        <f>("00622454612297")</f>
        <v>00622454612297</v>
      </c>
      <c r="L439" s="3">
        <v>1</v>
      </c>
      <c r="M439" s="3"/>
    </row>
    <row r="440" spans="1:13" x14ac:dyDescent="0.25">
      <c r="A440" s="3" t="s">
        <v>1371</v>
      </c>
      <c r="B440" s="10" t="s">
        <v>1351</v>
      </c>
      <c r="C440" s="3" t="str">
        <f>("295262")</f>
        <v>295262</v>
      </c>
      <c r="D440" s="11" t="str">
        <f>("622454612310")</f>
        <v>622454612310</v>
      </c>
      <c r="E440" s="3"/>
      <c r="F440" s="8" t="s">
        <v>478</v>
      </c>
      <c r="G440" s="14">
        <v>10583.09532770976</v>
      </c>
      <c r="H440" s="35">
        <v>45689</v>
      </c>
      <c r="I440" s="3">
        <v>197.28</v>
      </c>
      <c r="J440" s="3" t="s">
        <v>10</v>
      </c>
      <c r="K440" s="11" t="str">
        <f>("00622454612310")</f>
        <v>00622454612310</v>
      </c>
      <c r="L440" s="3">
        <v>1</v>
      </c>
      <c r="M440" s="3"/>
    </row>
    <row r="441" spans="1:13" x14ac:dyDescent="0.25">
      <c r="A441" s="3" t="s">
        <v>1371</v>
      </c>
      <c r="B441" s="10" t="s">
        <v>1351</v>
      </c>
      <c r="C441" s="3" t="str">
        <f>("295264")</f>
        <v>295264</v>
      </c>
      <c r="D441" s="11" t="str">
        <f>("622454612334")</f>
        <v>622454612334</v>
      </c>
      <c r="E441" s="3"/>
      <c r="F441" s="8" t="s">
        <v>479</v>
      </c>
      <c r="G441" s="14">
        <v>7593.3510945798662</v>
      </c>
      <c r="H441" s="35">
        <v>45689</v>
      </c>
      <c r="I441" s="3">
        <v>111.371</v>
      </c>
      <c r="J441" s="3" t="s">
        <v>10</v>
      </c>
      <c r="K441" s="11" t="str">
        <f>("00622454612334")</f>
        <v>00622454612334</v>
      </c>
      <c r="L441" s="3">
        <v>1</v>
      </c>
      <c r="M441" s="3"/>
    </row>
    <row r="442" spans="1:13" x14ac:dyDescent="0.25">
      <c r="A442" s="3" t="s">
        <v>1371</v>
      </c>
      <c r="B442" s="10" t="s">
        <v>1351</v>
      </c>
      <c r="C442" s="3" t="str">
        <f>("295266")</f>
        <v>295266</v>
      </c>
      <c r="D442" s="11" t="str">
        <f>("622454612358")</f>
        <v>622454612358</v>
      </c>
      <c r="E442" s="3"/>
      <c r="F442" s="8" t="s">
        <v>480</v>
      </c>
      <c r="G442" s="14">
        <v>8377.379748734942</v>
      </c>
      <c r="H442" s="35">
        <v>45689</v>
      </c>
      <c r="I442" s="3">
        <v>136.42599999999999</v>
      </c>
      <c r="J442" s="3" t="s">
        <v>10</v>
      </c>
      <c r="K442" s="11" t="str">
        <f>("00622454612358")</f>
        <v>00622454612358</v>
      </c>
      <c r="L442" s="3">
        <v>1</v>
      </c>
      <c r="M442" s="3"/>
    </row>
    <row r="443" spans="1:13" x14ac:dyDescent="0.25">
      <c r="A443" s="3" t="s">
        <v>1371</v>
      </c>
      <c r="B443" s="10" t="s">
        <v>1351</v>
      </c>
      <c r="C443" s="3" t="str">
        <f>("295268")</f>
        <v>295268</v>
      </c>
      <c r="D443" s="11" t="str">
        <f>("622454612372")</f>
        <v>622454612372</v>
      </c>
      <c r="E443" s="3"/>
      <c r="F443" s="8" t="s">
        <v>481</v>
      </c>
      <c r="G443" s="14">
        <v>8877.7204596276042</v>
      </c>
      <c r="H443" s="35">
        <v>45689</v>
      </c>
      <c r="I443" s="3">
        <v>142.67599999999999</v>
      </c>
      <c r="J443" s="3" t="s">
        <v>10</v>
      </c>
      <c r="K443" s="11" t="str">
        <f>("10622454612379")</f>
        <v>10622454612379</v>
      </c>
      <c r="L443" s="3">
        <v>2</v>
      </c>
      <c r="M443" s="3">
        <v>2</v>
      </c>
    </row>
    <row r="444" spans="1:13" x14ac:dyDescent="0.25">
      <c r="A444" s="3" t="s">
        <v>1371</v>
      </c>
      <c r="B444" s="10" t="s">
        <v>1351</v>
      </c>
      <c r="C444" s="3" t="str">
        <f>("295270")</f>
        <v>295270</v>
      </c>
      <c r="D444" s="11" t="str">
        <f>("622454612396")</f>
        <v>622454612396</v>
      </c>
      <c r="E444" s="3"/>
      <c r="F444" s="8" t="s">
        <v>482</v>
      </c>
      <c r="G444" s="14">
        <v>9544.0378053790482</v>
      </c>
      <c r="H444" s="35">
        <v>45689</v>
      </c>
      <c r="I444" s="3">
        <v>178.55</v>
      </c>
      <c r="J444" s="3" t="s">
        <v>10</v>
      </c>
      <c r="K444" s="11" t="str">
        <f>("00622454612396")</f>
        <v>00622454612396</v>
      </c>
      <c r="L444" s="3">
        <v>1</v>
      </c>
      <c r="M444" s="3"/>
    </row>
    <row r="445" spans="1:13" x14ac:dyDescent="0.25">
      <c r="A445" s="3" t="s">
        <v>1371</v>
      </c>
      <c r="B445" s="10" t="s">
        <v>1351</v>
      </c>
      <c r="C445" s="3" t="str">
        <f>("295272")</f>
        <v>295272</v>
      </c>
      <c r="D445" s="11" t="str">
        <f>("622454612419")</f>
        <v>622454612419</v>
      </c>
      <c r="E445" s="3"/>
      <c r="F445" s="8" t="s">
        <v>483</v>
      </c>
      <c r="G445" s="14">
        <v>9848.8449039736479</v>
      </c>
      <c r="H445" s="35">
        <v>45689</v>
      </c>
      <c r="I445" s="3">
        <v>188.40899999999999</v>
      </c>
      <c r="J445" s="3" t="s">
        <v>10</v>
      </c>
      <c r="K445" s="11" t="str">
        <f>("00622454612419")</f>
        <v>00622454612419</v>
      </c>
      <c r="L445" s="3">
        <v>1</v>
      </c>
      <c r="M445" s="3"/>
    </row>
    <row r="446" spans="1:13" x14ac:dyDescent="0.25">
      <c r="A446" s="3" t="s">
        <v>1371</v>
      </c>
      <c r="B446" s="10" t="s">
        <v>1351</v>
      </c>
      <c r="C446" s="3" t="str">
        <f>("295274")</f>
        <v>295274</v>
      </c>
      <c r="D446" s="11" t="str">
        <f>("622454612433")</f>
        <v>622454612433</v>
      </c>
      <c r="E446" s="3"/>
      <c r="F446" s="8" t="s">
        <v>484</v>
      </c>
      <c r="G446" s="14">
        <v>10320.797140488508</v>
      </c>
      <c r="H446" s="35">
        <v>45689</v>
      </c>
      <c r="I446" s="3">
        <v>195.559</v>
      </c>
      <c r="J446" s="3" t="s">
        <v>10</v>
      </c>
      <c r="K446" s="11" t="str">
        <f>("00622454612433")</f>
        <v>00622454612433</v>
      </c>
      <c r="L446" s="3">
        <v>1</v>
      </c>
      <c r="M446" s="3"/>
    </row>
    <row r="447" spans="1:13" x14ac:dyDescent="0.25">
      <c r="A447" s="3" t="s">
        <v>1371</v>
      </c>
      <c r="B447" s="10" t="s">
        <v>1351</v>
      </c>
      <c r="C447" s="3" t="str">
        <f>("295276")</f>
        <v>295276</v>
      </c>
      <c r="D447" s="11" t="str">
        <f>("622454612457")</f>
        <v>622454612457</v>
      </c>
      <c r="E447" s="3"/>
      <c r="F447" s="8" t="s">
        <v>485</v>
      </c>
      <c r="G447" s="14">
        <v>10906.709175578038</v>
      </c>
      <c r="H447" s="35">
        <v>45689</v>
      </c>
      <c r="I447" s="3">
        <v>213.18</v>
      </c>
      <c r="J447" s="3" t="s">
        <v>10</v>
      </c>
      <c r="K447" s="11" t="str">
        <f>("00622454612457")</f>
        <v>00622454612457</v>
      </c>
      <c r="L447" s="3">
        <v>1</v>
      </c>
      <c r="M447" s="3"/>
    </row>
    <row r="448" spans="1:13" x14ac:dyDescent="0.25">
      <c r="A448" s="3" t="s">
        <v>1371</v>
      </c>
      <c r="B448" s="10" t="s">
        <v>1351</v>
      </c>
      <c r="C448" s="3" t="str">
        <f>("295278")</f>
        <v>295278</v>
      </c>
      <c r="D448" s="11" t="str">
        <f>("622454612471")</f>
        <v>622454612471</v>
      </c>
      <c r="E448" s="3"/>
      <c r="F448" s="8" t="s">
        <v>486</v>
      </c>
      <c r="G448" s="14">
        <v>11669.274273498597</v>
      </c>
      <c r="H448" s="35">
        <v>45689</v>
      </c>
      <c r="I448" s="3">
        <v>297.50900000000001</v>
      </c>
      <c r="J448" s="3" t="s">
        <v>10</v>
      </c>
      <c r="K448" s="11" t="str">
        <f>("00622454612471")</f>
        <v>00622454612471</v>
      </c>
      <c r="L448" s="3">
        <v>1</v>
      </c>
      <c r="M448" s="3"/>
    </row>
    <row r="449" spans="1:13" x14ac:dyDescent="0.25">
      <c r="A449" s="3" t="s">
        <v>1371</v>
      </c>
      <c r="B449" s="10" t="s">
        <v>1351</v>
      </c>
      <c r="C449" s="3" t="str">
        <f>("295280")</f>
        <v>295280</v>
      </c>
      <c r="D449" s="11" t="str">
        <f>("622454612495")</f>
        <v>622454612495</v>
      </c>
      <c r="E449" s="3"/>
      <c r="F449" s="8" t="s">
        <v>487</v>
      </c>
      <c r="G449" s="14">
        <v>13170.099605660967</v>
      </c>
      <c r="H449" s="35">
        <v>45689</v>
      </c>
      <c r="I449" s="3">
        <v>253.90799999999999</v>
      </c>
      <c r="J449" s="3" t="s">
        <v>10</v>
      </c>
      <c r="K449" s="11" t="str">
        <f>("00622454612495")</f>
        <v>00622454612495</v>
      </c>
      <c r="L449" s="3">
        <v>1</v>
      </c>
      <c r="M449" s="3"/>
    </row>
    <row r="450" spans="1:13" x14ac:dyDescent="0.25">
      <c r="A450" s="3" t="s">
        <v>1371</v>
      </c>
      <c r="B450" s="10" t="s">
        <v>1351</v>
      </c>
      <c r="C450" s="3" t="str">
        <f>("755621")</f>
        <v>755621</v>
      </c>
      <c r="D450" s="11" t="str">
        <f>("662671193278")</f>
        <v>662671193278</v>
      </c>
      <c r="E450" s="3" t="s">
        <v>488</v>
      </c>
      <c r="F450" s="8" t="s">
        <v>489</v>
      </c>
      <c r="G450" s="14">
        <v>275.49129861405902</v>
      </c>
      <c r="H450" s="35">
        <v>45689</v>
      </c>
      <c r="I450" s="3">
        <v>1.129</v>
      </c>
      <c r="J450" s="3" t="s">
        <v>3</v>
      </c>
      <c r="K450" s="11" t="str">
        <f>("10662671193275")</f>
        <v>10662671193275</v>
      </c>
      <c r="L450" s="3">
        <v>25</v>
      </c>
      <c r="M450" s="3">
        <v>450</v>
      </c>
    </row>
    <row r="451" spans="1:13" x14ac:dyDescent="0.25">
      <c r="A451" s="3" t="s">
        <v>1371</v>
      </c>
      <c r="B451" s="10" t="s">
        <v>1351</v>
      </c>
      <c r="C451" s="3" t="str">
        <f>("755570")</f>
        <v>755570</v>
      </c>
      <c r="D451" s="11" t="str">
        <f>("662671191786")</f>
        <v>662671191786</v>
      </c>
      <c r="E451" s="3">
        <v>194301</v>
      </c>
      <c r="F451" s="8" t="s">
        <v>490</v>
      </c>
      <c r="G451" s="14">
        <v>120.57964450269091</v>
      </c>
      <c r="H451" s="35">
        <v>45689</v>
      </c>
      <c r="I451" s="3">
        <v>0.47799999999999998</v>
      </c>
      <c r="J451" s="3" t="s">
        <v>3</v>
      </c>
      <c r="K451" s="11" t="str">
        <f>("10662671191783")</f>
        <v>10662671191783</v>
      </c>
      <c r="L451" s="3">
        <v>40</v>
      </c>
      <c r="M451" s="3">
        <v>1280</v>
      </c>
    </row>
    <row r="452" spans="1:13" x14ac:dyDescent="0.25">
      <c r="A452" s="3" t="s">
        <v>1371</v>
      </c>
      <c r="B452" s="10" t="s">
        <v>1351</v>
      </c>
      <c r="C452" s="3" t="str">
        <f>("755571")</f>
        <v>755571</v>
      </c>
      <c r="D452" s="11" t="str">
        <f>("662671192455")</f>
        <v>662671192455</v>
      </c>
      <c r="E452" s="3">
        <v>194302</v>
      </c>
      <c r="F452" s="8" t="s">
        <v>491</v>
      </c>
      <c r="G452" s="14">
        <v>150.53040320526722</v>
      </c>
      <c r="H452" s="35">
        <v>45689</v>
      </c>
      <c r="I452" s="3">
        <v>0.74299999999999999</v>
      </c>
      <c r="J452" s="3" t="s">
        <v>3</v>
      </c>
      <c r="K452" s="11" t="str">
        <f>("10662671192452")</f>
        <v>10662671192452</v>
      </c>
      <c r="L452" s="3">
        <v>25</v>
      </c>
      <c r="M452" s="3">
        <v>800</v>
      </c>
    </row>
    <row r="453" spans="1:13" x14ac:dyDescent="0.25">
      <c r="A453" s="3" t="s">
        <v>1371</v>
      </c>
      <c r="B453" s="10" t="s">
        <v>1351</v>
      </c>
      <c r="C453" s="3" t="str">
        <f>("755572")</f>
        <v>755572</v>
      </c>
      <c r="D453" s="11" t="str">
        <f>("662671191847")</f>
        <v>662671191847</v>
      </c>
      <c r="E453" s="3">
        <v>194303</v>
      </c>
      <c r="F453" s="8" t="s">
        <v>492</v>
      </c>
      <c r="G453" s="14">
        <v>331.45115550502715</v>
      </c>
      <c r="H453" s="35">
        <v>45689</v>
      </c>
      <c r="I453" s="3">
        <v>2.3039999999999998</v>
      </c>
      <c r="J453" s="3" t="s">
        <v>3</v>
      </c>
      <c r="K453" s="11" t="str">
        <f>("10662671191844")</f>
        <v>10662671191844</v>
      </c>
      <c r="L453" s="3">
        <v>10</v>
      </c>
      <c r="M453" s="3">
        <v>240</v>
      </c>
    </row>
    <row r="454" spans="1:13" x14ac:dyDescent="0.25">
      <c r="A454" s="3" t="s">
        <v>1371</v>
      </c>
      <c r="B454" s="10" t="s">
        <v>1351</v>
      </c>
      <c r="C454" s="3" t="str">
        <f>("755573")</f>
        <v>755573</v>
      </c>
      <c r="D454" s="11" t="str">
        <f>("662671192493")</f>
        <v>662671192493</v>
      </c>
      <c r="E454" s="3">
        <v>194304</v>
      </c>
      <c r="F454" s="8" t="s">
        <v>493</v>
      </c>
      <c r="G454" s="14">
        <v>652.86499706129462</v>
      </c>
      <c r="H454" s="35">
        <v>45689</v>
      </c>
      <c r="I454" s="3">
        <v>4.2389999999999999</v>
      </c>
      <c r="J454" s="3" t="s">
        <v>3</v>
      </c>
      <c r="K454" s="11" t="str">
        <f>("10662671192490")</f>
        <v>10662671192490</v>
      </c>
      <c r="L454" s="3">
        <v>5</v>
      </c>
      <c r="M454" s="3">
        <v>90</v>
      </c>
    </row>
    <row r="455" spans="1:13" x14ac:dyDescent="0.25">
      <c r="A455" s="3" t="s">
        <v>1371</v>
      </c>
      <c r="B455" s="10" t="s">
        <v>1351</v>
      </c>
      <c r="C455" s="3" t="str">
        <f>("626609")</f>
        <v>626609</v>
      </c>
      <c r="D455" s="11" t="str">
        <f>("622454873490")</f>
        <v>622454873490</v>
      </c>
      <c r="E455" s="3">
        <v>192716</v>
      </c>
      <c r="F455" s="8" t="s">
        <v>494</v>
      </c>
      <c r="G455" s="14">
        <v>2513.7976561744003</v>
      </c>
      <c r="H455" s="35">
        <v>45689</v>
      </c>
      <c r="I455" s="3">
        <v>10.445</v>
      </c>
      <c r="J455" s="3" t="s">
        <v>3</v>
      </c>
      <c r="K455" s="11" t="str">
        <f>("10622454873497")</f>
        <v>10622454873497</v>
      </c>
      <c r="L455" s="3">
        <v>20</v>
      </c>
      <c r="M455" s="3"/>
    </row>
    <row r="456" spans="1:13" x14ac:dyDescent="0.25">
      <c r="A456" s="3" t="s">
        <v>1371</v>
      </c>
      <c r="B456" s="10" t="s">
        <v>1351</v>
      </c>
      <c r="C456" s="3" t="str">
        <f>("226164")</f>
        <v>226164</v>
      </c>
      <c r="D456" s="11" t="str">
        <f>("622454875937")</f>
        <v>622454875937</v>
      </c>
      <c r="E456" s="3">
        <v>192718</v>
      </c>
      <c r="F456" s="8" t="s">
        <v>495</v>
      </c>
      <c r="G456" s="14">
        <v>3793.3134099257031</v>
      </c>
      <c r="H456" s="35">
        <v>45689</v>
      </c>
      <c r="I456" s="3">
        <v>22.622</v>
      </c>
      <c r="J456" s="3" t="s">
        <v>3</v>
      </c>
      <c r="K456" s="11" t="str">
        <f>("10622454875934")</f>
        <v>10622454875934</v>
      </c>
      <c r="L456" s="3">
        <v>8</v>
      </c>
      <c r="M456" s="3">
        <v>8</v>
      </c>
    </row>
    <row r="457" spans="1:13" x14ac:dyDescent="0.25">
      <c r="A457" s="3" t="s">
        <v>1371</v>
      </c>
      <c r="B457" s="10" t="s">
        <v>1351</v>
      </c>
      <c r="C457" s="3" t="str">
        <f>("295458")</f>
        <v>295458</v>
      </c>
      <c r="D457" s="11" t="str">
        <f>("622454614420")</f>
        <v>622454614420</v>
      </c>
      <c r="E457" s="3"/>
      <c r="F457" s="8" t="s">
        <v>496</v>
      </c>
      <c r="G457" s="14">
        <v>2476.9299999999998</v>
      </c>
      <c r="H457" s="35">
        <v>45689</v>
      </c>
      <c r="I457" s="3">
        <v>51.268000000000001</v>
      </c>
      <c r="J457" s="3" t="s">
        <v>10</v>
      </c>
      <c r="K457" s="11" t="str">
        <f>("00622454614420")</f>
        <v>00622454614420</v>
      </c>
      <c r="L457" s="3">
        <v>1</v>
      </c>
      <c r="M457" s="3"/>
    </row>
    <row r="458" spans="1:13" x14ac:dyDescent="0.25">
      <c r="A458" s="3" t="s">
        <v>1371</v>
      </c>
      <c r="B458" s="10" t="s">
        <v>1351</v>
      </c>
      <c r="C458" s="3" t="str">
        <f>("295459")</f>
        <v>295459</v>
      </c>
      <c r="D458" s="11" t="str">
        <f>("622454614437")</f>
        <v>622454614437</v>
      </c>
      <c r="E458" s="3"/>
      <c r="F458" s="8" t="s">
        <v>497</v>
      </c>
      <c r="G458" s="14">
        <v>3595.81</v>
      </c>
      <c r="H458" s="35">
        <v>45689</v>
      </c>
      <c r="I458" s="3">
        <v>101.56699999999999</v>
      </c>
      <c r="J458" s="3" t="s">
        <v>10</v>
      </c>
      <c r="K458" s="11" t="str">
        <f>("00622454614437")</f>
        <v>00622454614437</v>
      </c>
      <c r="L458" s="3">
        <v>1</v>
      </c>
      <c r="M458" s="3"/>
    </row>
    <row r="459" spans="1:13" x14ac:dyDescent="0.25">
      <c r="A459" s="3" t="s">
        <v>1371</v>
      </c>
      <c r="B459" s="10" t="s">
        <v>1351</v>
      </c>
      <c r="C459" s="3" t="str">
        <f>("295460")</f>
        <v>295460</v>
      </c>
      <c r="D459" s="11" t="str">
        <f>("622454614444")</f>
        <v>622454614444</v>
      </c>
      <c r="E459" s="3"/>
      <c r="F459" s="8" t="s">
        <v>498</v>
      </c>
      <c r="G459" s="14">
        <v>5608.9499954489875</v>
      </c>
      <c r="H459" s="35">
        <v>45689</v>
      </c>
      <c r="I459" s="3">
        <v>92.234999999999999</v>
      </c>
      <c r="J459" s="3" t="s">
        <v>10</v>
      </c>
      <c r="K459" s="11" t="str">
        <f>("00622454614444")</f>
        <v>00622454614444</v>
      </c>
      <c r="L459" s="3">
        <v>1</v>
      </c>
      <c r="M459" s="3"/>
    </row>
    <row r="460" spans="1:13" x14ac:dyDescent="0.25">
      <c r="A460" s="3" t="s">
        <v>1371</v>
      </c>
      <c r="B460" s="10" t="s">
        <v>1351</v>
      </c>
      <c r="C460" s="3" t="str">
        <f>("295461")</f>
        <v>295461</v>
      </c>
      <c r="D460" s="11" t="str">
        <f>("622454614451")</f>
        <v>622454614451</v>
      </c>
      <c r="E460" s="3"/>
      <c r="F460" s="8" t="s">
        <v>499</v>
      </c>
      <c r="G460" s="14">
        <v>7361.6307874726635</v>
      </c>
      <c r="H460" s="35">
        <v>45689</v>
      </c>
      <c r="I460" s="3">
        <v>157.608</v>
      </c>
      <c r="J460" s="3" t="s">
        <v>10</v>
      </c>
      <c r="K460" s="11" t="str">
        <f>("00622454614451")</f>
        <v>00622454614451</v>
      </c>
      <c r="L460" s="3">
        <v>1</v>
      </c>
      <c r="M460" s="3"/>
    </row>
    <row r="461" spans="1:13" x14ac:dyDescent="0.25">
      <c r="A461" s="3" t="s">
        <v>1371</v>
      </c>
      <c r="B461" s="10" t="s">
        <v>1351</v>
      </c>
      <c r="C461" s="3" t="str">
        <f>("295462")</f>
        <v>295462</v>
      </c>
      <c r="D461" s="11" t="str">
        <f>("622454614468")</f>
        <v>622454614468</v>
      </c>
      <c r="E461" s="3"/>
      <c r="F461" s="8" t="s">
        <v>500</v>
      </c>
      <c r="G461" s="14">
        <v>10283.872443745804</v>
      </c>
      <c r="H461" s="35">
        <v>45689</v>
      </c>
      <c r="I461" s="3">
        <v>225.32300000000001</v>
      </c>
      <c r="J461" s="3" t="s">
        <v>10</v>
      </c>
      <c r="K461" s="11" t="str">
        <f>("00622454614468")</f>
        <v>00622454614468</v>
      </c>
      <c r="L461" s="3">
        <v>1</v>
      </c>
      <c r="M461" s="3"/>
    </row>
    <row r="462" spans="1:13" x14ac:dyDescent="0.25">
      <c r="A462" s="3" t="s">
        <v>1371</v>
      </c>
      <c r="B462" s="10" t="s">
        <v>1351</v>
      </c>
      <c r="C462" s="3" t="str">
        <f>("295463")</f>
        <v>295463</v>
      </c>
      <c r="D462" s="11" t="str">
        <f>("622454614475")</f>
        <v>622454614475</v>
      </c>
      <c r="E462" s="3"/>
      <c r="F462" s="8" t="s">
        <v>501</v>
      </c>
      <c r="G462" s="14">
        <v>13371.623333653131</v>
      </c>
      <c r="H462" s="35">
        <v>45689</v>
      </c>
      <c r="I462" s="3">
        <v>301.46199999999999</v>
      </c>
      <c r="J462" s="3" t="s">
        <v>10</v>
      </c>
      <c r="K462" s="11" t="str">
        <f>("00622454614475")</f>
        <v>00622454614475</v>
      </c>
      <c r="L462" s="3">
        <v>1</v>
      </c>
      <c r="M462" s="3"/>
    </row>
    <row r="463" spans="1:13" x14ac:dyDescent="0.25">
      <c r="A463" s="3" t="s">
        <v>1371</v>
      </c>
      <c r="B463" s="10" t="s">
        <v>1351</v>
      </c>
      <c r="C463" s="3" t="str">
        <f>("295464")</f>
        <v>295464</v>
      </c>
      <c r="D463" s="11" t="str">
        <f>("622454614482")</f>
        <v>622454614482</v>
      </c>
      <c r="E463" s="3"/>
      <c r="F463" s="8" t="s">
        <v>502</v>
      </c>
      <c r="G463" s="14">
        <v>16648.979220325553</v>
      </c>
      <c r="H463" s="35">
        <v>45689</v>
      </c>
      <c r="I463" s="3">
        <v>418.95499999999998</v>
      </c>
      <c r="J463" s="3" t="s">
        <v>10</v>
      </c>
      <c r="K463" s="11" t="str">
        <f>("00622454614482")</f>
        <v>00622454614482</v>
      </c>
      <c r="L463" s="3">
        <v>1</v>
      </c>
      <c r="M463" s="3"/>
    </row>
    <row r="464" spans="1:13" x14ac:dyDescent="0.25">
      <c r="A464" s="3" t="s">
        <v>1371</v>
      </c>
      <c r="B464" s="10" t="s">
        <v>1351</v>
      </c>
      <c r="C464" s="3" t="str">
        <f>("755580")</f>
        <v>755580</v>
      </c>
      <c r="D464" s="11" t="str">
        <f>("662671193261")</f>
        <v>662671193261</v>
      </c>
      <c r="E464" s="3">
        <v>194317</v>
      </c>
      <c r="F464" s="8" t="s">
        <v>503</v>
      </c>
      <c r="G464" s="14">
        <v>238.69758281064952</v>
      </c>
      <c r="H464" s="35">
        <v>45689</v>
      </c>
      <c r="I464" s="3">
        <v>0.50900000000000001</v>
      </c>
      <c r="J464" s="3" t="s">
        <v>3</v>
      </c>
      <c r="K464" s="11" t="str">
        <f>("10662671193268")</f>
        <v>10662671193268</v>
      </c>
      <c r="L464" s="3">
        <v>35</v>
      </c>
      <c r="M464" s="3"/>
    </row>
    <row r="465" spans="1:13" x14ac:dyDescent="0.25">
      <c r="A465" s="3" t="s">
        <v>1371</v>
      </c>
      <c r="B465" s="10" t="s">
        <v>1351</v>
      </c>
      <c r="C465" s="3" t="str">
        <f>("755581")</f>
        <v>755581</v>
      </c>
      <c r="D465" s="11" t="str">
        <f>("662671191878")</f>
        <v>662671191878</v>
      </c>
      <c r="E465" s="3">
        <v>194320</v>
      </c>
      <c r="F465" s="8" t="s">
        <v>504</v>
      </c>
      <c r="G465" s="14">
        <v>169.43279005767587</v>
      </c>
      <c r="H465" s="35">
        <v>45689</v>
      </c>
      <c r="I465" s="3">
        <v>0.54700000000000004</v>
      </c>
      <c r="J465" s="3" t="s">
        <v>3</v>
      </c>
      <c r="K465" s="11" t="str">
        <f>("10662671191875")</f>
        <v>10662671191875</v>
      </c>
      <c r="L465" s="3">
        <v>20</v>
      </c>
      <c r="M465" s="3">
        <v>960</v>
      </c>
    </row>
    <row r="466" spans="1:13" x14ac:dyDescent="0.25">
      <c r="A466" s="3" t="s">
        <v>1371</v>
      </c>
      <c r="B466" s="10" t="s">
        <v>1351</v>
      </c>
      <c r="C466" s="3" t="str">
        <f>("755582")</f>
        <v>755582</v>
      </c>
      <c r="D466" s="11" t="str">
        <f>("662671192028")</f>
        <v>662671192028</v>
      </c>
      <c r="E466" s="3">
        <v>194326</v>
      </c>
      <c r="F466" s="8" t="s">
        <v>505</v>
      </c>
      <c r="G466" s="14">
        <v>302.20374142951727</v>
      </c>
      <c r="H466" s="35">
        <v>45689</v>
      </c>
      <c r="I466" s="3">
        <v>1.032</v>
      </c>
      <c r="J466" s="3" t="s">
        <v>3</v>
      </c>
      <c r="K466" s="11" t="str">
        <f>("10662671192025")</f>
        <v>10662671192025</v>
      </c>
      <c r="L466" s="3">
        <v>15</v>
      </c>
      <c r="M466" s="3">
        <v>480</v>
      </c>
    </row>
    <row r="467" spans="1:13" x14ac:dyDescent="0.25">
      <c r="A467" s="3" t="s">
        <v>1371</v>
      </c>
      <c r="B467" s="10" t="s">
        <v>1351</v>
      </c>
      <c r="C467" s="3" t="str">
        <f>("755583")</f>
        <v>755583</v>
      </c>
      <c r="D467" s="11" t="str">
        <f>("662671192400")</f>
        <v>662671192400</v>
      </c>
      <c r="E467" s="3">
        <v>194327</v>
      </c>
      <c r="F467" s="8" t="s">
        <v>506</v>
      </c>
      <c r="G467" s="14">
        <v>226.44766388924356</v>
      </c>
      <c r="H467" s="35">
        <v>45689</v>
      </c>
      <c r="I467" s="3">
        <v>1.3540000000000001</v>
      </c>
      <c r="J467" s="3" t="s">
        <v>3</v>
      </c>
      <c r="K467" s="11" t="str">
        <f>("10662671192407")</f>
        <v>10662671192407</v>
      </c>
      <c r="L467" s="3">
        <v>12</v>
      </c>
      <c r="M467" s="3">
        <v>384</v>
      </c>
    </row>
    <row r="468" spans="1:13" x14ac:dyDescent="0.25">
      <c r="A468" s="3" t="s">
        <v>1371</v>
      </c>
      <c r="B468" s="10" t="s">
        <v>1351</v>
      </c>
      <c r="C468" s="3" t="str">
        <f>("755584")</f>
        <v>755584</v>
      </c>
      <c r="D468" s="11" t="str">
        <f>("662671192547")</f>
        <v>662671192547</v>
      </c>
      <c r="E468" s="3">
        <v>194337</v>
      </c>
      <c r="F468" s="8" t="s">
        <v>507</v>
      </c>
      <c r="G468" s="14">
        <v>341.04887906187031</v>
      </c>
      <c r="H468" s="35">
        <v>45689</v>
      </c>
      <c r="I468" s="3">
        <v>1.887</v>
      </c>
      <c r="J468" s="3" t="s">
        <v>3</v>
      </c>
      <c r="K468" s="11" t="str">
        <f>("10662671192544")</f>
        <v>10662671192544</v>
      </c>
      <c r="L468" s="3">
        <v>15</v>
      </c>
      <c r="M468" s="3">
        <v>270</v>
      </c>
    </row>
    <row r="469" spans="1:13" x14ac:dyDescent="0.25">
      <c r="A469" s="3" t="s">
        <v>1371</v>
      </c>
      <c r="B469" s="10" t="s">
        <v>1351</v>
      </c>
      <c r="C469" s="3" t="str">
        <f>("755585")</f>
        <v>755585</v>
      </c>
      <c r="D469" s="11" t="str">
        <f>("662671191519")</f>
        <v>662671191519</v>
      </c>
      <c r="E469" s="3">
        <v>194338</v>
      </c>
      <c r="F469" s="8" t="s">
        <v>508</v>
      </c>
      <c r="G469" s="14">
        <v>439.95671724307874</v>
      </c>
      <c r="H469" s="35">
        <v>45689</v>
      </c>
      <c r="I469" s="3">
        <v>3.0779999999999998</v>
      </c>
      <c r="J469" s="3" t="s">
        <v>3</v>
      </c>
      <c r="K469" s="11" t="str">
        <f>("10662671191516")</f>
        <v>10662671191516</v>
      </c>
      <c r="L469" s="3">
        <v>8</v>
      </c>
      <c r="M469" s="3">
        <v>144</v>
      </c>
    </row>
    <row r="470" spans="1:13" x14ac:dyDescent="0.25">
      <c r="A470" s="3" t="s">
        <v>1371</v>
      </c>
      <c r="B470" s="10" t="s">
        <v>1351</v>
      </c>
      <c r="C470" s="3" t="str">
        <f>("626610")</f>
        <v>626610</v>
      </c>
      <c r="D470" s="11" t="str">
        <f>("622454873506")</f>
        <v>622454873506</v>
      </c>
      <c r="E470" s="3">
        <v>192713</v>
      </c>
      <c r="F470" s="8" t="s">
        <v>509</v>
      </c>
      <c r="G470" s="14">
        <v>2132.1745839386381</v>
      </c>
      <c r="H470" s="35">
        <v>45689</v>
      </c>
      <c r="I470" s="3">
        <v>10.366</v>
      </c>
      <c r="J470" s="3" t="s">
        <v>3</v>
      </c>
      <c r="K470" s="11" t="str">
        <f>("10622454873503")</f>
        <v>10622454873503</v>
      </c>
      <c r="L470" s="3">
        <v>30</v>
      </c>
      <c r="M470" s="3"/>
    </row>
    <row r="471" spans="1:13" x14ac:dyDescent="0.25">
      <c r="A471" s="3" t="s">
        <v>1371</v>
      </c>
      <c r="B471" s="10" t="s">
        <v>1351</v>
      </c>
      <c r="C471" s="3" t="str">
        <f>("226163")</f>
        <v>226163</v>
      </c>
      <c r="D471" s="11" t="str">
        <f>("622454875944")</f>
        <v>622454875944</v>
      </c>
      <c r="E471" s="3">
        <v>192715</v>
      </c>
      <c r="F471" s="8" t="s">
        <v>510</v>
      </c>
      <c r="G471" s="14">
        <v>3766.0881116530095</v>
      </c>
      <c r="H471" s="35">
        <v>45689</v>
      </c>
      <c r="I471" s="3">
        <v>14.683</v>
      </c>
      <c r="J471" s="3" t="s">
        <v>3</v>
      </c>
      <c r="K471" s="11" t="str">
        <f>("10622454875941")</f>
        <v>10622454875941</v>
      </c>
      <c r="L471" s="3">
        <v>15</v>
      </c>
      <c r="M471" s="3"/>
    </row>
    <row r="472" spans="1:13" x14ac:dyDescent="0.25">
      <c r="A472" s="3" t="s">
        <v>1371</v>
      </c>
      <c r="B472" s="10" t="s">
        <v>1351</v>
      </c>
      <c r="C472" s="3" t="str">
        <f>("295469")</f>
        <v>295469</v>
      </c>
      <c r="D472" s="11" t="str">
        <f>("622454614536")</f>
        <v>622454614536</v>
      </c>
      <c r="E472" s="3"/>
      <c r="F472" s="8" t="s">
        <v>511</v>
      </c>
      <c r="G472" s="14">
        <v>1213.1029783298031</v>
      </c>
      <c r="H472" s="35">
        <v>45689</v>
      </c>
      <c r="I472" s="3">
        <v>18.484000000000002</v>
      </c>
      <c r="J472" s="3" t="s">
        <v>10</v>
      </c>
      <c r="K472" s="11" t="str">
        <f>("00622454614536")</f>
        <v>00622454614536</v>
      </c>
      <c r="L472" s="3">
        <v>1</v>
      </c>
      <c r="M472" s="3"/>
    </row>
    <row r="473" spans="1:13" x14ac:dyDescent="0.25">
      <c r="A473" s="3" t="s">
        <v>1371</v>
      </c>
      <c r="B473" s="10" t="s">
        <v>1351</v>
      </c>
      <c r="C473" s="3" t="str">
        <f>("295470")</f>
        <v>295470</v>
      </c>
      <c r="D473" s="11" t="str">
        <f>("622454614543")</f>
        <v>622454614543</v>
      </c>
      <c r="E473" s="3"/>
      <c r="F473" s="8" t="s">
        <v>512</v>
      </c>
      <c r="G473" s="14">
        <v>1526.1510985158779</v>
      </c>
      <c r="H473" s="35">
        <v>45689</v>
      </c>
      <c r="I473" s="3">
        <v>27.026</v>
      </c>
      <c r="J473" s="3" t="s">
        <v>10</v>
      </c>
      <c r="K473" s="11" t="str">
        <f>("10622454614540")</f>
        <v>10622454614540</v>
      </c>
      <c r="L473" s="3">
        <v>6</v>
      </c>
      <c r="M473" s="3"/>
    </row>
    <row r="474" spans="1:13" x14ac:dyDescent="0.25">
      <c r="A474" s="3" t="s">
        <v>1371</v>
      </c>
      <c r="B474" s="10" t="s">
        <v>1351</v>
      </c>
      <c r="C474" s="3" t="str">
        <f>("295471")</f>
        <v>295471</v>
      </c>
      <c r="D474" s="11" t="str">
        <f>("622454614550")</f>
        <v>622454614550</v>
      </c>
      <c r="E474" s="3"/>
      <c r="F474" s="8" t="s">
        <v>513</v>
      </c>
      <c r="G474" s="14">
        <v>1898.8912750951404</v>
      </c>
      <c r="H474" s="35">
        <v>45689</v>
      </c>
      <c r="I474" s="3">
        <v>32.128</v>
      </c>
      <c r="J474" s="3" t="s">
        <v>10</v>
      </c>
      <c r="K474" s="11" t="str">
        <f>("00622454614550")</f>
        <v>00622454614550</v>
      </c>
      <c r="L474" s="3">
        <v>1</v>
      </c>
      <c r="M474" s="3"/>
    </row>
    <row r="475" spans="1:13" x14ac:dyDescent="0.25">
      <c r="A475" s="3" t="s">
        <v>1371</v>
      </c>
      <c r="B475" s="10" t="s">
        <v>1351</v>
      </c>
      <c r="C475" s="3" t="str">
        <f>("295472")</f>
        <v>295472</v>
      </c>
      <c r="D475" s="11" t="str">
        <f>("622454614567")</f>
        <v>622454614567</v>
      </c>
      <c r="E475" s="3"/>
      <c r="F475" s="8" t="s">
        <v>514</v>
      </c>
      <c r="G475" s="14">
        <v>1917.2552232086848</v>
      </c>
      <c r="H475" s="35">
        <v>45689</v>
      </c>
      <c r="I475" s="3">
        <v>25.670999999999999</v>
      </c>
      <c r="J475" s="3" t="s">
        <v>10</v>
      </c>
      <c r="K475" s="11" t="str">
        <f>("10622454614564")</f>
        <v>10622454614564</v>
      </c>
      <c r="L475" s="3">
        <v>8</v>
      </c>
      <c r="M475" s="3"/>
    </row>
    <row r="476" spans="1:13" x14ac:dyDescent="0.25">
      <c r="A476" s="3" t="s">
        <v>1371</v>
      </c>
      <c r="B476" s="10" t="s">
        <v>1351</v>
      </c>
      <c r="C476" s="3" t="str">
        <f>("295473")</f>
        <v>295473</v>
      </c>
      <c r="D476" s="11" t="str">
        <f>("622454614574")</f>
        <v>622454614574</v>
      </c>
      <c r="E476" s="3"/>
      <c r="F476" s="8" t="s">
        <v>515</v>
      </c>
      <c r="G476" s="14">
        <v>2130.451681783406</v>
      </c>
      <c r="H476" s="35">
        <v>45689</v>
      </c>
      <c r="I476" s="3">
        <v>33.192999999999998</v>
      </c>
      <c r="J476" s="3" t="s">
        <v>10</v>
      </c>
      <c r="K476" s="11" t="str">
        <f>("00622454614574")</f>
        <v>00622454614574</v>
      </c>
      <c r="L476" s="3">
        <v>1</v>
      </c>
      <c r="M476" s="3"/>
    </row>
    <row r="477" spans="1:13" x14ac:dyDescent="0.25">
      <c r="A477" s="3" t="s">
        <v>1371</v>
      </c>
      <c r="B477" s="10" t="s">
        <v>1351</v>
      </c>
      <c r="C477" s="3" t="str">
        <f>("295474")</f>
        <v>295474</v>
      </c>
      <c r="D477" s="11" t="str">
        <f>("622454614581")</f>
        <v>622454614581</v>
      </c>
      <c r="E477" s="3"/>
      <c r="F477" s="8" t="s">
        <v>516</v>
      </c>
      <c r="G477" s="14">
        <v>2390.154562204953</v>
      </c>
      <c r="H477" s="35">
        <v>45689</v>
      </c>
      <c r="I477" s="3">
        <v>41.438000000000002</v>
      </c>
      <c r="J477" s="3" t="s">
        <v>10</v>
      </c>
      <c r="K477" s="11" t="str">
        <f>("00622454614581")</f>
        <v>00622454614581</v>
      </c>
      <c r="L477" s="3">
        <v>1</v>
      </c>
      <c r="M477" s="3"/>
    </row>
    <row r="478" spans="1:13" x14ac:dyDescent="0.25">
      <c r="A478" s="3" t="s">
        <v>1371</v>
      </c>
      <c r="B478" s="10" t="s">
        <v>1351</v>
      </c>
      <c r="C478" s="3" t="str">
        <f>("295475")</f>
        <v>295475</v>
      </c>
      <c r="D478" s="11" t="str">
        <f>("622454614598")</f>
        <v>622454614598</v>
      </c>
      <c r="E478" s="3"/>
      <c r="F478" s="8" t="s">
        <v>517</v>
      </c>
      <c r="G478" s="14">
        <v>2973.8156913971116</v>
      </c>
      <c r="H478" s="35">
        <v>45689</v>
      </c>
      <c r="I478" s="3">
        <v>64.58</v>
      </c>
      <c r="J478" s="3" t="s">
        <v>10</v>
      </c>
      <c r="K478" s="11" t="str">
        <f>("00622454614598")</f>
        <v>00622454614598</v>
      </c>
      <c r="L478" s="3">
        <v>1</v>
      </c>
      <c r="M478" s="3"/>
    </row>
    <row r="479" spans="1:13" x14ac:dyDescent="0.25">
      <c r="A479" s="3" t="s">
        <v>1371</v>
      </c>
      <c r="B479" s="10" t="s">
        <v>1351</v>
      </c>
      <c r="C479" s="3" t="str">
        <f>("295476")</f>
        <v>295476</v>
      </c>
      <c r="D479" s="11" t="str">
        <f>("622454614604")</f>
        <v>622454614604</v>
      </c>
      <c r="E479" s="3"/>
      <c r="F479" s="8" t="s">
        <v>518</v>
      </c>
      <c r="G479" s="14">
        <v>2988.1698290049517</v>
      </c>
      <c r="H479" s="35">
        <v>45689</v>
      </c>
      <c r="I479" s="3">
        <v>33.42</v>
      </c>
      <c r="J479" s="3" t="s">
        <v>10</v>
      </c>
      <c r="K479" s="11" t="str">
        <f>("10622454614601")</f>
        <v>10622454614601</v>
      </c>
      <c r="L479" s="3">
        <v>6</v>
      </c>
      <c r="M479" s="3"/>
    </row>
    <row r="480" spans="1:13" x14ac:dyDescent="0.25">
      <c r="A480" s="3" t="s">
        <v>1371</v>
      </c>
      <c r="B480" s="10" t="s">
        <v>1351</v>
      </c>
      <c r="C480" s="3" t="str">
        <f>("295477")</f>
        <v>295477</v>
      </c>
      <c r="D480" s="11" t="str">
        <f>("622454614611")</f>
        <v>622454614611</v>
      </c>
      <c r="E480" s="3"/>
      <c r="F480" s="8" t="s">
        <v>519</v>
      </c>
      <c r="G480" s="14">
        <v>3400.0610081598406</v>
      </c>
      <c r="H480" s="35">
        <v>45689</v>
      </c>
      <c r="I480" s="3">
        <v>39.381</v>
      </c>
      <c r="J480" s="3" t="s">
        <v>10</v>
      </c>
      <c r="K480" s="11" t="str">
        <f>("00622454614611")</f>
        <v>00622454614611</v>
      </c>
      <c r="L480" s="3">
        <v>1</v>
      </c>
      <c r="M480" s="3"/>
    </row>
    <row r="481" spans="1:13" x14ac:dyDescent="0.25">
      <c r="A481" s="3" t="s">
        <v>1371</v>
      </c>
      <c r="B481" s="10" t="s">
        <v>1351</v>
      </c>
      <c r="C481" s="3" t="str">
        <f>("295478")</f>
        <v>295478</v>
      </c>
      <c r="D481" s="11" t="str">
        <f>("622454614628")</f>
        <v>622454614628</v>
      </c>
      <c r="E481" s="3"/>
      <c r="F481" s="8" t="s">
        <v>520</v>
      </c>
      <c r="G481" s="14">
        <v>3740.710400661249</v>
      </c>
      <c r="H481" s="35">
        <v>45689</v>
      </c>
      <c r="I481" s="3">
        <v>57.155000000000001</v>
      </c>
      <c r="J481" s="3" t="s">
        <v>10</v>
      </c>
      <c r="K481" s="11" t="str">
        <f>("00622454614628")</f>
        <v>00622454614628</v>
      </c>
      <c r="L481" s="3">
        <v>1</v>
      </c>
      <c r="M481" s="3"/>
    </row>
    <row r="482" spans="1:13" x14ac:dyDescent="0.25">
      <c r="A482" s="3" t="s">
        <v>1371</v>
      </c>
      <c r="B482" s="10" t="s">
        <v>1351</v>
      </c>
      <c r="C482" s="3" t="str">
        <f>("295479")</f>
        <v>295479</v>
      </c>
      <c r="D482" s="11" t="str">
        <f>("622454614635")</f>
        <v>622454614635</v>
      </c>
      <c r="E482" s="3"/>
      <c r="F482" s="8" t="s">
        <v>521</v>
      </c>
      <c r="G482" s="14">
        <v>4427.015298780083</v>
      </c>
      <c r="H482" s="35">
        <v>45689</v>
      </c>
      <c r="I482" s="3">
        <v>70.930999999999997</v>
      </c>
      <c r="J482" s="3" t="s">
        <v>10</v>
      </c>
      <c r="K482" s="11" t="str">
        <f>("00622454614635")</f>
        <v>00622454614635</v>
      </c>
      <c r="L482" s="3">
        <v>1</v>
      </c>
      <c r="M482" s="3"/>
    </row>
    <row r="483" spans="1:13" x14ac:dyDescent="0.25">
      <c r="A483" s="3" t="s">
        <v>1371</v>
      </c>
      <c r="B483" s="10" t="s">
        <v>1351</v>
      </c>
      <c r="C483" s="3" t="str">
        <f>("295480")</f>
        <v>295480</v>
      </c>
      <c r="D483" s="11" t="str">
        <f>("622454614642")</f>
        <v>622454614642</v>
      </c>
      <c r="E483" s="3"/>
      <c r="F483" s="8" t="s">
        <v>522</v>
      </c>
      <c r="G483" s="14">
        <v>5223.9466867403198</v>
      </c>
      <c r="H483" s="35">
        <v>45689</v>
      </c>
      <c r="I483" s="3">
        <v>90.533000000000001</v>
      </c>
      <c r="J483" s="3" t="s">
        <v>10</v>
      </c>
      <c r="K483" s="11" t="str">
        <f>("00622454614642")</f>
        <v>00622454614642</v>
      </c>
      <c r="L483" s="3">
        <v>1</v>
      </c>
      <c r="M483" s="3"/>
    </row>
    <row r="484" spans="1:13" x14ac:dyDescent="0.25">
      <c r="A484" s="3" t="s">
        <v>1371</v>
      </c>
      <c r="B484" s="10" t="s">
        <v>1351</v>
      </c>
      <c r="C484" s="3" t="str">
        <f>("295481")</f>
        <v>295481</v>
      </c>
      <c r="D484" s="11" t="str">
        <f>("622454614659")</f>
        <v>622454614659</v>
      </c>
      <c r="E484" s="3"/>
      <c r="F484" s="8" t="s">
        <v>523</v>
      </c>
      <c r="G484" s="14">
        <v>3745.0400120048312</v>
      </c>
      <c r="H484" s="35">
        <v>45689</v>
      </c>
      <c r="I484" s="3">
        <v>48.319000000000003</v>
      </c>
      <c r="J484" s="3" t="s">
        <v>10</v>
      </c>
      <c r="K484" s="11" t="str">
        <f>("10622454614656")</f>
        <v>10622454614656</v>
      </c>
      <c r="L484" s="3">
        <v>5</v>
      </c>
      <c r="M484" s="3"/>
    </row>
    <row r="485" spans="1:13" x14ac:dyDescent="0.25">
      <c r="A485" s="3" t="s">
        <v>1371</v>
      </c>
      <c r="B485" s="10" t="s">
        <v>1351</v>
      </c>
      <c r="C485" s="3" t="str">
        <f>("295482")</f>
        <v>295482</v>
      </c>
      <c r="D485" s="11" t="str">
        <f>("622454614666")</f>
        <v>622454614666</v>
      </c>
      <c r="E485" s="3"/>
      <c r="F485" s="8" t="s">
        <v>524</v>
      </c>
      <c r="G485" s="14">
        <v>3960.8563774437084</v>
      </c>
      <c r="H485" s="35">
        <v>45689</v>
      </c>
      <c r="I485" s="3">
        <v>60.332000000000001</v>
      </c>
      <c r="J485" s="3" t="s">
        <v>10</v>
      </c>
      <c r="K485" s="11" t="str">
        <f>("00622454614666")</f>
        <v>00622454614666</v>
      </c>
      <c r="L485" s="3">
        <v>1</v>
      </c>
      <c r="M485" s="3"/>
    </row>
    <row r="486" spans="1:13" x14ac:dyDescent="0.25">
      <c r="A486" s="3" t="s">
        <v>1371</v>
      </c>
      <c r="B486" s="10" t="s">
        <v>1351</v>
      </c>
      <c r="C486" s="3" t="str">
        <f>("295483")</f>
        <v>295483</v>
      </c>
      <c r="D486" s="11" t="str">
        <f>("622454614673")</f>
        <v>622454614673</v>
      </c>
      <c r="E486" s="3"/>
      <c r="F486" s="8" t="s">
        <v>525</v>
      </c>
      <c r="G486" s="14">
        <v>4357.7169172183221</v>
      </c>
      <c r="H486" s="35">
        <v>45689</v>
      </c>
      <c r="I486" s="3">
        <v>64.95</v>
      </c>
      <c r="J486" s="3" t="s">
        <v>10</v>
      </c>
      <c r="K486" s="11" t="str">
        <f>("00622454614673")</f>
        <v>00622454614673</v>
      </c>
      <c r="L486" s="3">
        <v>1</v>
      </c>
      <c r="M486" s="3"/>
    </row>
    <row r="487" spans="1:13" x14ac:dyDescent="0.25">
      <c r="A487" s="3" t="s">
        <v>1371</v>
      </c>
      <c r="B487" s="10" t="s">
        <v>1351</v>
      </c>
      <c r="C487" s="3" t="str">
        <f>("295484")</f>
        <v>295484</v>
      </c>
      <c r="D487" s="11" t="str">
        <f>("622454614680")</f>
        <v>622454614680</v>
      </c>
      <c r="E487" s="3"/>
      <c r="F487" s="8" t="s">
        <v>526</v>
      </c>
      <c r="G487" s="14">
        <v>4930.3572175359104</v>
      </c>
      <c r="H487" s="35">
        <v>45689</v>
      </c>
      <c r="I487" s="3">
        <v>93.802000000000007</v>
      </c>
      <c r="J487" s="3" t="s">
        <v>10</v>
      </c>
      <c r="K487" s="11" t="str">
        <f>("00622454614680")</f>
        <v>00622454614680</v>
      </c>
      <c r="L487" s="3">
        <v>1</v>
      </c>
      <c r="M487" s="3"/>
    </row>
    <row r="488" spans="1:13" x14ac:dyDescent="0.25">
      <c r="A488" s="3" t="s">
        <v>1371</v>
      </c>
      <c r="B488" s="10" t="s">
        <v>1351</v>
      </c>
      <c r="C488" s="3" t="str">
        <f>("295485")</f>
        <v>295485</v>
      </c>
      <c r="D488" s="11" t="str">
        <f>("622454614697")</f>
        <v>622454614697</v>
      </c>
      <c r="E488" s="3"/>
      <c r="F488" s="8" t="s">
        <v>527</v>
      </c>
      <c r="G488" s="14">
        <v>5292.6423667230001</v>
      </c>
      <c r="H488" s="35">
        <v>45689</v>
      </c>
      <c r="I488" s="3">
        <v>103.89100000000001</v>
      </c>
      <c r="J488" s="3" t="s">
        <v>10</v>
      </c>
      <c r="K488" s="11" t="str">
        <f>("10622454614694")</f>
        <v>10622454614694</v>
      </c>
      <c r="L488" s="3">
        <v>2</v>
      </c>
      <c r="M488" s="3">
        <v>2</v>
      </c>
    </row>
    <row r="489" spans="1:13" x14ac:dyDescent="0.25">
      <c r="A489" s="3" t="s">
        <v>1371</v>
      </c>
      <c r="B489" s="10" t="s">
        <v>1351</v>
      </c>
      <c r="C489" s="3" t="str">
        <f>("295486")</f>
        <v>295486</v>
      </c>
      <c r="D489" s="11" t="str">
        <f>("622454614703")</f>
        <v>622454614703</v>
      </c>
      <c r="E489" s="3"/>
      <c r="F489" s="8" t="s">
        <v>528</v>
      </c>
      <c r="G489" s="14">
        <v>6497.4305232679708</v>
      </c>
      <c r="H489" s="35">
        <v>45689</v>
      </c>
      <c r="I489" s="3">
        <v>107.749</v>
      </c>
      <c r="J489" s="3" t="s">
        <v>10</v>
      </c>
      <c r="K489" s="11" t="str">
        <f>("00622454614703")</f>
        <v>00622454614703</v>
      </c>
      <c r="L489" s="3">
        <v>1</v>
      </c>
      <c r="M489" s="3"/>
    </row>
    <row r="490" spans="1:13" x14ac:dyDescent="0.25">
      <c r="A490" s="3" t="s">
        <v>1371</v>
      </c>
      <c r="B490" s="10" t="s">
        <v>1351</v>
      </c>
      <c r="C490" s="3" t="str">
        <f>("295488")</f>
        <v>295488</v>
      </c>
      <c r="D490" s="11" t="str">
        <f>("622454614727")</f>
        <v>622454614727</v>
      </c>
      <c r="E490" s="3"/>
      <c r="F490" s="8" t="s">
        <v>529</v>
      </c>
      <c r="G490" s="14">
        <v>5624.7924369561852</v>
      </c>
      <c r="H490" s="35">
        <v>45689</v>
      </c>
      <c r="I490" s="3">
        <v>62.106000000000002</v>
      </c>
      <c r="J490" s="3" t="s">
        <v>10</v>
      </c>
      <c r="K490" s="11" t="str">
        <f>("00622454614727")</f>
        <v>00622454614727</v>
      </c>
      <c r="L490" s="3">
        <v>1</v>
      </c>
      <c r="M490" s="3"/>
    </row>
    <row r="491" spans="1:13" x14ac:dyDescent="0.25">
      <c r="A491" s="3" t="s">
        <v>1371</v>
      </c>
      <c r="B491" s="10" t="s">
        <v>1351</v>
      </c>
      <c r="C491" s="3" t="str">
        <f>("295489")</f>
        <v>295489</v>
      </c>
      <c r="D491" s="11" t="str">
        <f>("622454614734")</f>
        <v>622454614734</v>
      </c>
      <c r="E491" s="3"/>
      <c r="F491" s="8" t="s">
        <v>530</v>
      </c>
      <c r="G491" s="14">
        <v>5799.9940959845317</v>
      </c>
      <c r="H491" s="35">
        <v>45689</v>
      </c>
      <c r="I491" s="3">
        <v>86.869</v>
      </c>
      <c r="J491" s="3" t="s">
        <v>10</v>
      </c>
      <c r="K491" s="11" t="str">
        <f>("00622454614734")</f>
        <v>00622454614734</v>
      </c>
      <c r="L491" s="3">
        <v>1</v>
      </c>
      <c r="M491" s="3"/>
    </row>
    <row r="492" spans="1:13" x14ac:dyDescent="0.25">
      <c r="A492" s="3" t="s">
        <v>1371</v>
      </c>
      <c r="B492" s="10" t="s">
        <v>1351</v>
      </c>
      <c r="C492" s="3" t="str">
        <f>("295490")</f>
        <v>295490</v>
      </c>
      <c r="D492" s="11" t="str">
        <f>("622454614741")</f>
        <v>622454614741</v>
      </c>
      <c r="E492" s="3"/>
      <c r="F492" s="8" t="s">
        <v>531</v>
      </c>
      <c r="G492" s="14">
        <v>5956.475105964776</v>
      </c>
      <c r="H492" s="35">
        <v>45689</v>
      </c>
      <c r="I492" s="3">
        <v>79.495999999999995</v>
      </c>
      <c r="J492" s="3" t="s">
        <v>10</v>
      </c>
      <c r="K492" s="11" t="str">
        <f>("10622454614748")</f>
        <v>10622454614748</v>
      </c>
      <c r="L492" s="3">
        <v>3</v>
      </c>
      <c r="M492" s="3">
        <v>3</v>
      </c>
    </row>
    <row r="493" spans="1:13" x14ac:dyDescent="0.25">
      <c r="A493" s="3" t="s">
        <v>1371</v>
      </c>
      <c r="B493" s="10" t="s">
        <v>1351</v>
      </c>
      <c r="C493" s="3" t="str">
        <f>("295491")</f>
        <v>295491</v>
      </c>
      <c r="D493" s="11" t="str">
        <f>("622454614758")</f>
        <v>622454614758</v>
      </c>
      <c r="E493" s="3"/>
      <c r="F493" s="8" t="s">
        <v>532</v>
      </c>
      <c r="G493" s="14">
        <v>6340.5190121598116</v>
      </c>
      <c r="H493" s="35">
        <v>45689</v>
      </c>
      <c r="I493" s="3">
        <v>110.80200000000001</v>
      </c>
      <c r="J493" s="3" t="s">
        <v>10</v>
      </c>
      <c r="K493" s="11" t="str">
        <f>("00622454614758")</f>
        <v>00622454614758</v>
      </c>
      <c r="L493" s="3">
        <v>1</v>
      </c>
      <c r="M493" s="3"/>
    </row>
    <row r="494" spans="1:13" x14ac:dyDescent="0.25">
      <c r="A494" s="3" t="s">
        <v>1371</v>
      </c>
      <c r="B494" s="10" t="s">
        <v>1351</v>
      </c>
      <c r="C494" s="3" t="str">
        <f>("295492")</f>
        <v>295492</v>
      </c>
      <c r="D494" s="11" t="str">
        <f>("622454614765")</f>
        <v>622454614765</v>
      </c>
      <c r="E494" s="3"/>
      <c r="F494" s="8" t="s">
        <v>533</v>
      </c>
      <c r="G494" s="14">
        <v>6590.4310669293955</v>
      </c>
      <c r="H494" s="35">
        <v>45689</v>
      </c>
      <c r="I494" s="3">
        <v>120.67</v>
      </c>
      <c r="J494" s="3" t="s">
        <v>10</v>
      </c>
      <c r="K494" s="11" t="str">
        <f>("00622454614765")</f>
        <v>00622454614765</v>
      </c>
      <c r="L494" s="3">
        <v>1</v>
      </c>
      <c r="M494" s="3"/>
    </row>
    <row r="495" spans="1:13" x14ac:dyDescent="0.25">
      <c r="A495" s="3" t="s">
        <v>1371</v>
      </c>
      <c r="B495" s="10" t="s">
        <v>1351</v>
      </c>
      <c r="C495" s="3" t="str">
        <f>("295493")</f>
        <v>295493</v>
      </c>
      <c r="D495" s="11" t="str">
        <f>("622454614772")</f>
        <v>622454614772</v>
      </c>
      <c r="E495" s="3"/>
      <c r="F495" s="8" t="s">
        <v>534</v>
      </c>
      <c r="G495" s="14">
        <v>7483.0690056407948</v>
      </c>
      <c r="H495" s="35">
        <v>45689</v>
      </c>
      <c r="I495" s="3">
        <v>128.6</v>
      </c>
      <c r="J495" s="3" t="s">
        <v>10</v>
      </c>
      <c r="K495" s="11" t="str">
        <f>("00622454614772")</f>
        <v>00622454614772</v>
      </c>
      <c r="L495" s="3">
        <v>1</v>
      </c>
      <c r="M495" s="3"/>
    </row>
    <row r="496" spans="1:13" x14ac:dyDescent="0.25">
      <c r="A496" s="3" t="s">
        <v>1371</v>
      </c>
      <c r="B496" s="10" t="s">
        <v>1351</v>
      </c>
      <c r="C496" s="3" t="str">
        <f>("295494")</f>
        <v>295494</v>
      </c>
      <c r="D496" s="11" t="str">
        <f>("622454614789")</f>
        <v>622454614789</v>
      </c>
      <c r="E496" s="3"/>
      <c r="F496" s="8" t="s">
        <v>535</v>
      </c>
      <c r="G496" s="14">
        <v>8511.4131999025831</v>
      </c>
      <c r="H496" s="35">
        <v>45689</v>
      </c>
      <c r="I496" s="3">
        <v>205.614</v>
      </c>
      <c r="J496" s="3" t="s">
        <v>10</v>
      </c>
      <c r="K496" s="11" t="str">
        <f>("00622454614789")</f>
        <v>00622454614789</v>
      </c>
      <c r="L496" s="3">
        <v>1</v>
      </c>
      <c r="M496" s="3"/>
    </row>
    <row r="497" spans="1:13" x14ac:dyDescent="0.25">
      <c r="A497" s="3" t="s">
        <v>1371</v>
      </c>
      <c r="B497" s="10" t="s">
        <v>1351</v>
      </c>
      <c r="C497" s="3" t="str">
        <f>("295495")</f>
        <v>295495</v>
      </c>
      <c r="D497" s="11" t="str">
        <f>("622454614796")</f>
        <v>622454614796</v>
      </c>
      <c r="E497" s="3"/>
      <c r="F497" s="8" t="s">
        <v>536</v>
      </c>
      <c r="G497" s="14">
        <v>6219.1053940561333</v>
      </c>
      <c r="H497" s="35">
        <v>45689</v>
      </c>
      <c r="I497" s="3">
        <v>75.173000000000002</v>
      </c>
      <c r="J497" s="3" t="s">
        <v>10</v>
      </c>
      <c r="K497" s="11" t="str">
        <f>("00622454614796")</f>
        <v>00622454614796</v>
      </c>
      <c r="L497" s="3">
        <v>1</v>
      </c>
      <c r="M497" s="3"/>
    </row>
    <row r="498" spans="1:13" x14ac:dyDescent="0.25">
      <c r="A498" s="3" t="s">
        <v>1371</v>
      </c>
      <c r="B498" s="10" t="s">
        <v>1351</v>
      </c>
      <c r="C498" s="3" t="str">
        <f>("295496")</f>
        <v>295496</v>
      </c>
      <c r="D498" s="11" t="str">
        <f>("622454614802")</f>
        <v>622454614802</v>
      </c>
      <c r="E498" s="3"/>
      <c r="F498" s="8" t="s">
        <v>537</v>
      </c>
      <c r="G498" s="14">
        <v>6735.0917459403745</v>
      </c>
      <c r="H498" s="35">
        <v>45689</v>
      </c>
      <c r="I498" s="3">
        <v>85.308000000000007</v>
      </c>
      <c r="J498" s="3" t="s">
        <v>10</v>
      </c>
      <c r="K498" s="11" t="str">
        <f>("00622454614802")</f>
        <v>00622454614802</v>
      </c>
      <c r="L498" s="3">
        <v>1</v>
      </c>
      <c r="M498" s="3"/>
    </row>
    <row r="499" spans="1:13" x14ac:dyDescent="0.25">
      <c r="A499" s="3" t="s">
        <v>1371</v>
      </c>
      <c r="B499" s="10" t="s">
        <v>1351</v>
      </c>
      <c r="C499" s="3" t="str">
        <f>("295497")</f>
        <v>295497</v>
      </c>
      <c r="D499" s="11" t="str">
        <f>("622454614819")</f>
        <v>622454614819</v>
      </c>
      <c r="E499" s="3"/>
      <c r="F499" s="8" t="s">
        <v>538</v>
      </c>
      <c r="G499" s="14">
        <v>6862.6922802537738</v>
      </c>
      <c r="H499" s="35">
        <v>45689</v>
      </c>
      <c r="I499" s="3">
        <v>106.708</v>
      </c>
      <c r="J499" s="3" t="s">
        <v>10</v>
      </c>
      <c r="K499" s="11" t="str">
        <f>("00622454614819")</f>
        <v>00622454614819</v>
      </c>
      <c r="L499" s="3">
        <v>1</v>
      </c>
      <c r="M499" s="3"/>
    </row>
    <row r="500" spans="1:13" x14ac:dyDescent="0.25">
      <c r="A500" s="3" t="s">
        <v>1371</v>
      </c>
      <c r="B500" s="10" t="s">
        <v>1351</v>
      </c>
      <c r="C500" s="3" t="str">
        <f>("295498")</f>
        <v>295498</v>
      </c>
      <c r="D500" s="11" t="str">
        <f>("622454614826")</f>
        <v>622454614826</v>
      </c>
      <c r="E500" s="3"/>
      <c r="F500" s="8" t="s">
        <v>539</v>
      </c>
      <c r="G500" s="14">
        <v>7194.3995493268185</v>
      </c>
      <c r="H500" s="35">
        <v>45689</v>
      </c>
      <c r="I500" s="3">
        <v>112.48</v>
      </c>
      <c r="J500" s="3" t="s">
        <v>10</v>
      </c>
      <c r="K500" s="11" t="str">
        <f>("00622454614826")</f>
        <v>00622454614826</v>
      </c>
      <c r="L500" s="3">
        <v>1</v>
      </c>
      <c r="M500" s="3"/>
    </row>
    <row r="501" spans="1:13" x14ac:dyDescent="0.25">
      <c r="A501" s="3" t="s">
        <v>1371</v>
      </c>
      <c r="B501" s="10" t="s">
        <v>1351</v>
      </c>
      <c r="C501" s="3" t="str">
        <f>("295499")</f>
        <v>295499</v>
      </c>
      <c r="D501" s="11" t="str">
        <f>("622454614833")</f>
        <v>622454614833</v>
      </c>
      <c r="E501" s="3"/>
      <c r="F501" s="8" t="s">
        <v>540</v>
      </c>
      <c r="G501" s="14">
        <v>9042.5654915215855</v>
      </c>
      <c r="H501" s="35">
        <v>45689</v>
      </c>
      <c r="I501" s="3">
        <v>130.47999999999999</v>
      </c>
      <c r="J501" s="3" t="s">
        <v>10</v>
      </c>
      <c r="K501" s="11" t="str">
        <f>("00622454614833")</f>
        <v>00622454614833</v>
      </c>
      <c r="L501" s="3">
        <v>1</v>
      </c>
      <c r="M501" s="3"/>
    </row>
    <row r="502" spans="1:13" x14ac:dyDescent="0.25">
      <c r="A502" s="3" t="s">
        <v>1371</v>
      </c>
      <c r="B502" s="10" t="s">
        <v>1351</v>
      </c>
      <c r="C502" s="3" t="str">
        <f>("295500")</f>
        <v>295500</v>
      </c>
      <c r="D502" s="11" t="str">
        <f>("622454614840")</f>
        <v>622454614840</v>
      </c>
      <c r="E502" s="3"/>
      <c r="F502" s="8" t="s">
        <v>541</v>
      </c>
      <c r="G502" s="14">
        <v>9519.3516407012976</v>
      </c>
      <c r="H502" s="35">
        <v>45689</v>
      </c>
      <c r="I502" s="3">
        <v>147.26900000000001</v>
      </c>
      <c r="J502" s="3" t="s">
        <v>10</v>
      </c>
      <c r="K502" s="11" t="str">
        <f>("00622454614840")</f>
        <v>00622454614840</v>
      </c>
      <c r="L502" s="3">
        <v>1</v>
      </c>
      <c r="M502" s="3"/>
    </row>
    <row r="503" spans="1:13" x14ac:dyDescent="0.25">
      <c r="A503" s="3" t="s">
        <v>1371</v>
      </c>
      <c r="B503" s="10" t="s">
        <v>1351</v>
      </c>
      <c r="C503" s="3" t="str">
        <f>("295501")</f>
        <v>295501</v>
      </c>
      <c r="D503" s="11" t="str">
        <f>("622454614857")</f>
        <v>622454614857</v>
      </c>
      <c r="E503" s="3"/>
      <c r="F503" s="8" t="s">
        <v>542</v>
      </c>
      <c r="G503" s="14">
        <v>10651.077605823324</v>
      </c>
      <c r="H503" s="35">
        <v>45689</v>
      </c>
      <c r="I503" s="3">
        <v>222.79</v>
      </c>
      <c r="J503" s="3" t="s">
        <v>10</v>
      </c>
      <c r="K503" s="11" t="str">
        <f>("00622454614857")</f>
        <v>00622454614857</v>
      </c>
      <c r="L503" s="3">
        <v>1</v>
      </c>
      <c r="M503" s="3"/>
    </row>
    <row r="504" spans="1:13" x14ac:dyDescent="0.25">
      <c r="A504" s="3" t="s">
        <v>1371</v>
      </c>
      <c r="B504" s="10" t="s">
        <v>1351</v>
      </c>
      <c r="C504" s="3" t="str">
        <f>("295502")</f>
        <v>295502</v>
      </c>
      <c r="D504" s="11" t="str">
        <f>("622454614864")</f>
        <v>622454614864</v>
      </c>
      <c r="E504" s="3"/>
      <c r="F504" s="8" t="s">
        <v>543</v>
      </c>
      <c r="G504" s="14">
        <v>10884.298516862113</v>
      </c>
      <c r="H504" s="35">
        <v>45689</v>
      </c>
      <c r="I504" s="3">
        <v>210.35400000000001</v>
      </c>
      <c r="J504" s="3" t="s">
        <v>10</v>
      </c>
      <c r="K504" s="11" t="str">
        <f>("00622454614864")</f>
        <v>00622454614864</v>
      </c>
      <c r="L504" s="3">
        <v>1</v>
      </c>
      <c r="M504" s="3"/>
    </row>
    <row r="505" spans="1:13" x14ac:dyDescent="0.25">
      <c r="A505" s="3" t="s">
        <v>1371</v>
      </c>
      <c r="B505" s="10" t="s">
        <v>1351</v>
      </c>
      <c r="C505" s="3" t="str">
        <f>("295503")</f>
        <v>295503</v>
      </c>
      <c r="D505" s="11" t="str">
        <f>("622454614871")</f>
        <v>622454614871</v>
      </c>
      <c r="E505" s="3"/>
      <c r="F505" s="8" t="s">
        <v>544</v>
      </c>
      <c r="G505" s="14">
        <v>8290.9966224111504</v>
      </c>
      <c r="H505" s="35">
        <v>45689</v>
      </c>
      <c r="I505" s="3">
        <v>118.053</v>
      </c>
      <c r="J505" s="3" t="s">
        <v>10</v>
      </c>
      <c r="K505" s="11" t="str">
        <f>("00622454614871")</f>
        <v>00622454614871</v>
      </c>
      <c r="L505" s="3">
        <v>1</v>
      </c>
      <c r="M505" s="3"/>
    </row>
    <row r="506" spans="1:13" x14ac:dyDescent="0.25">
      <c r="A506" s="3" t="s">
        <v>1371</v>
      </c>
      <c r="B506" s="10" t="s">
        <v>1351</v>
      </c>
      <c r="C506" s="3" t="str">
        <f>("295504")</f>
        <v>295504</v>
      </c>
      <c r="D506" s="11" t="str">
        <f>("622454614888")</f>
        <v>622454614888</v>
      </c>
      <c r="E506" s="3"/>
      <c r="F506" s="8" t="s">
        <v>545</v>
      </c>
      <c r="G506" s="14">
        <v>9053.4018199127677</v>
      </c>
      <c r="H506" s="35">
        <v>45689</v>
      </c>
      <c r="I506" s="3">
        <v>138.21600000000001</v>
      </c>
      <c r="J506" s="3" t="s">
        <v>10</v>
      </c>
      <c r="K506" s="11" t="str">
        <f>("00622454614888")</f>
        <v>00622454614888</v>
      </c>
      <c r="L506" s="3">
        <v>1</v>
      </c>
      <c r="M506" s="3"/>
    </row>
    <row r="507" spans="1:13" x14ac:dyDescent="0.25">
      <c r="A507" s="3" t="s">
        <v>1371</v>
      </c>
      <c r="B507" s="10" t="s">
        <v>1351</v>
      </c>
      <c r="C507" s="3" t="str">
        <f>("295505")</f>
        <v>295505</v>
      </c>
      <c r="D507" s="11" t="str">
        <f>("622454614895")</f>
        <v>622454614895</v>
      </c>
      <c r="E507" s="3"/>
      <c r="F507" s="8" t="s">
        <v>546</v>
      </c>
      <c r="G507" s="14">
        <v>10099.273560096728</v>
      </c>
      <c r="H507" s="35">
        <v>45689</v>
      </c>
      <c r="I507" s="3">
        <v>140.37299999999999</v>
      </c>
      <c r="J507" s="3" t="s">
        <v>10</v>
      </c>
      <c r="K507" s="11" t="str">
        <f>("00622454614895")</f>
        <v>00622454614895</v>
      </c>
      <c r="L507" s="3">
        <v>1</v>
      </c>
      <c r="M507" s="3"/>
    </row>
    <row r="508" spans="1:13" x14ac:dyDescent="0.25">
      <c r="A508" s="3" t="s">
        <v>1371</v>
      </c>
      <c r="B508" s="10" t="s">
        <v>1351</v>
      </c>
      <c r="C508" s="3" t="str">
        <f>("295506")</f>
        <v>295506</v>
      </c>
      <c r="D508" s="11" t="str">
        <f>("622454614901")</f>
        <v>622454614901</v>
      </c>
      <c r="E508" s="3"/>
      <c r="F508" s="8" t="s">
        <v>547</v>
      </c>
      <c r="G508" s="14">
        <v>10812.40482850065</v>
      </c>
      <c r="H508" s="35">
        <v>45689</v>
      </c>
      <c r="I508" s="3">
        <v>161.71100000000001</v>
      </c>
      <c r="J508" s="3" t="s">
        <v>10</v>
      </c>
      <c r="K508" s="11" t="str">
        <f>("00622454614901")</f>
        <v>00622454614901</v>
      </c>
      <c r="L508" s="3">
        <v>1</v>
      </c>
      <c r="M508" s="3"/>
    </row>
    <row r="509" spans="1:13" x14ac:dyDescent="0.25">
      <c r="A509" s="3" t="s">
        <v>1371</v>
      </c>
      <c r="B509" s="10" t="s">
        <v>1351</v>
      </c>
      <c r="C509" s="3" t="str">
        <f>("295507")</f>
        <v>295507</v>
      </c>
      <c r="D509" s="11" t="str">
        <f>("622454614918")</f>
        <v>622454614918</v>
      </c>
      <c r="E509" s="3"/>
      <c r="F509" s="8" t="s">
        <v>548</v>
      </c>
      <c r="G509" s="14">
        <v>11262.180106911877</v>
      </c>
      <c r="H509" s="35">
        <v>45689</v>
      </c>
      <c r="I509" s="3">
        <v>181.10499999999999</v>
      </c>
      <c r="J509" s="3" t="s">
        <v>10</v>
      </c>
      <c r="K509" s="11" t="str">
        <f>("00622454614918")</f>
        <v>00622454614918</v>
      </c>
      <c r="L509" s="3">
        <v>1</v>
      </c>
      <c r="M509" s="3"/>
    </row>
    <row r="510" spans="1:13" x14ac:dyDescent="0.25">
      <c r="A510" s="3" t="s">
        <v>1371</v>
      </c>
      <c r="B510" s="10" t="s">
        <v>1351</v>
      </c>
      <c r="C510" s="3" t="str">
        <f>("295508")</f>
        <v>295508</v>
      </c>
      <c r="D510" s="11" t="str">
        <f>("622454614925")</f>
        <v>622454614925</v>
      </c>
      <c r="E510" s="3"/>
      <c r="F510" s="8" t="s">
        <v>549</v>
      </c>
      <c r="G510" s="14">
        <v>11469.743150727052</v>
      </c>
      <c r="H510" s="35">
        <v>45689</v>
      </c>
      <c r="I510" s="3">
        <v>199.28399999999999</v>
      </c>
      <c r="J510" s="3" t="s">
        <v>10</v>
      </c>
      <c r="K510" s="11" t="str">
        <f>("00622454614925")</f>
        <v>00622454614925</v>
      </c>
      <c r="L510" s="3">
        <v>1</v>
      </c>
      <c r="M510" s="3"/>
    </row>
    <row r="511" spans="1:13" x14ac:dyDescent="0.25">
      <c r="A511" s="3" t="s">
        <v>1371</v>
      </c>
      <c r="B511" s="10" t="s">
        <v>1351</v>
      </c>
      <c r="C511" s="3" t="str">
        <f>("295509")</f>
        <v>295509</v>
      </c>
      <c r="D511" s="11" t="str">
        <f>("622454614932")</f>
        <v>622454614932</v>
      </c>
      <c r="E511" s="3"/>
      <c r="F511" s="8" t="s">
        <v>550</v>
      </c>
      <c r="G511" s="14">
        <v>13263.149349451294</v>
      </c>
      <c r="H511" s="35">
        <v>45689</v>
      </c>
      <c r="I511" s="3">
        <v>182.512</v>
      </c>
      <c r="J511" s="3" t="s">
        <v>10</v>
      </c>
      <c r="K511" s="11" t="str">
        <f>("00622454614932")</f>
        <v>00622454614932</v>
      </c>
      <c r="L511" s="3">
        <v>1</v>
      </c>
      <c r="M511" s="3"/>
    </row>
    <row r="512" spans="1:13" x14ac:dyDescent="0.25">
      <c r="A512" s="3" t="s">
        <v>1371</v>
      </c>
      <c r="B512" s="10" t="s">
        <v>1351</v>
      </c>
      <c r="C512" s="3" t="str">
        <f>("295510")</f>
        <v>295510</v>
      </c>
      <c r="D512" s="11" t="str">
        <f>("622454614949")</f>
        <v>622454614949</v>
      </c>
      <c r="E512" s="3"/>
      <c r="F512" s="8" t="s">
        <v>551</v>
      </c>
      <c r="G512" s="14">
        <v>14168.690021967856</v>
      </c>
      <c r="H512" s="35">
        <v>45689</v>
      </c>
      <c r="I512" s="3">
        <v>312.73200000000003</v>
      </c>
      <c r="J512" s="3" t="s">
        <v>10</v>
      </c>
      <c r="K512" s="11" t="str">
        <f>("00622454614949")</f>
        <v>00622454614949</v>
      </c>
      <c r="L512" s="3">
        <v>1</v>
      </c>
      <c r="M512" s="3"/>
    </row>
    <row r="513" spans="1:13" x14ac:dyDescent="0.25">
      <c r="A513" s="3" t="s">
        <v>1371</v>
      </c>
      <c r="B513" s="10" t="s">
        <v>1351</v>
      </c>
      <c r="C513" s="3" t="str">
        <f>("295511")</f>
        <v>295511</v>
      </c>
      <c r="D513" s="11" t="str">
        <f>("622454614956")</f>
        <v>622454614956</v>
      </c>
      <c r="E513" s="3"/>
      <c r="F513" s="8" t="s">
        <v>552</v>
      </c>
      <c r="G513" s="14">
        <v>14394.54321370322</v>
      </c>
      <c r="H513" s="35">
        <v>45689</v>
      </c>
      <c r="I513" s="3">
        <v>301.79899999999998</v>
      </c>
      <c r="J513" s="3" t="s">
        <v>10</v>
      </c>
      <c r="K513" s="11" t="str">
        <f>("00622454614956")</f>
        <v>00622454614956</v>
      </c>
      <c r="L513" s="3">
        <v>1</v>
      </c>
      <c r="M513" s="3"/>
    </row>
    <row r="514" spans="1:13" x14ac:dyDescent="0.25">
      <c r="A514" s="3" t="s">
        <v>1371</v>
      </c>
      <c r="B514" s="10" t="s">
        <v>1351</v>
      </c>
      <c r="C514" s="3" t="str">
        <f>("755134")</f>
        <v>755134</v>
      </c>
      <c r="D514" s="11" t="str">
        <f>("662671192646")</f>
        <v>662671192646</v>
      </c>
      <c r="E514" s="3">
        <v>192352</v>
      </c>
      <c r="F514" s="8" t="s">
        <v>553</v>
      </c>
      <c r="G514" s="14">
        <v>241.97985773695925</v>
      </c>
      <c r="H514" s="35">
        <v>45689</v>
      </c>
      <c r="I514" s="3">
        <v>0.68600000000000005</v>
      </c>
      <c r="J514" s="3" t="s">
        <v>3</v>
      </c>
      <c r="K514" s="11" t="str">
        <f>("10662671192643")</f>
        <v>10662671192643</v>
      </c>
      <c r="L514" s="3">
        <v>20</v>
      </c>
      <c r="M514" s="3"/>
    </row>
    <row r="515" spans="1:13" x14ac:dyDescent="0.25">
      <c r="A515" s="3" t="s">
        <v>1371</v>
      </c>
      <c r="B515" s="10" t="s">
        <v>1351</v>
      </c>
      <c r="C515" s="3" t="str">
        <f>("226129")</f>
        <v>226129</v>
      </c>
      <c r="D515" s="11" t="str">
        <f>("622454875593")</f>
        <v>622454875593</v>
      </c>
      <c r="E515" s="3">
        <v>192354</v>
      </c>
      <c r="F515" s="8" t="s">
        <v>554</v>
      </c>
      <c r="G515" s="14">
        <v>1019.6738730894708</v>
      </c>
      <c r="H515" s="35">
        <v>45689</v>
      </c>
      <c r="I515" s="3">
        <v>1.3009999999999999</v>
      </c>
      <c r="J515" s="3" t="s">
        <v>3</v>
      </c>
      <c r="K515" s="11" t="str">
        <f>("10622454875590")</f>
        <v>10622454875590</v>
      </c>
      <c r="L515" s="3">
        <v>5</v>
      </c>
      <c r="M515" s="3"/>
    </row>
    <row r="516" spans="1:13" x14ac:dyDescent="0.25">
      <c r="A516" s="3" t="s">
        <v>1371</v>
      </c>
      <c r="B516" s="10" t="s">
        <v>1351</v>
      </c>
      <c r="C516" s="3" t="str">
        <f>("226120")</f>
        <v>226120</v>
      </c>
      <c r="D516" s="11" t="str">
        <f>("622454875586")</f>
        <v>622454875586</v>
      </c>
      <c r="E516" s="3">
        <v>192356</v>
      </c>
      <c r="F516" s="8" t="s">
        <v>555</v>
      </c>
      <c r="G516" s="14">
        <v>1906.0346333237367</v>
      </c>
      <c r="H516" s="35">
        <v>45689</v>
      </c>
      <c r="I516" s="3">
        <v>11.949</v>
      </c>
      <c r="J516" s="3" t="s">
        <v>3</v>
      </c>
      <c r="K516" s="11" t="str">
        <f>("10622454875583")</f>
        <v>10622454875583</v>
      </c>
      <c r="L516" s="3">
        <v>2</v>
      </c>
      <c r="M516" s="3"/>
    </row>
    <row r="517" spans="1:13" x14ac:dyDescent="0.25">
      <c r="A517" s="3" t="s">
        <v>1371</v>
      </c>
      <c r="B517" s="10" t="s">
        <v>1351</v>
      </c>
      <c r="C517" s="3" t="str">
        <f>("295350")</f>
        <v>295350</v>
      </c>
      <c r="D517" s="11" t="str">
        <f>("622454613331")</f>
        <v>622454613331</v>
      </c>
      <c r="E517" s="3"/>
      <c r="F517" s="8" t="s">
        <v>556</v>
      </c>
      <c r="G517" s="14">
        <v>1320.580659921329</v>
      </c>
      <c r="H517" s="35">
        <v>45689</v>
      </c>
      <c r="I517" s="3">
        <v>36.145000000000003</v>
      </c>
      <c r="J517" s="3" t="s">
        <v>10</v>
      </c>
      <c r="K517" s="11" t="str">
        <f>("10622454613338")</f>
        <v>10622454613338</v>
      </c>
      <c r="L517" s="3">
        <v>5</v>
      </c>
      <c r="M517" s="3"/>
    </row>
    <row r="518" spans="1:13" x14ac:dyDescent="0.25">
      <c r="A518" s="3" t="s">
        <v>1371</v>
      </c>
      <c r="B518" s="10" t="s">
        <v>1351</v>
      </c>
      <c r="C518" s="3" t="str">
        <f>("295352")</f>
        <v>295352</v>
      </c>
      <c r="D518" s="11" t="str">
        <f>("622454613355")</f>
        <v>622454613355</v>
      </c>
      <c r="E518" s="3"/>
      <c r="F518" s="8" t="s">
        <v>557</v>
      </c>
      <c r="G518" s="14">
        <v>1936.9106747059677</v>
      </c>
      <c r="H518" s="35">
        <v>45689</v>
      </c>
      <c r="I518" s="3">
        <v>58.210999999999999</v>
      </c>
      <c r="J518" s="3" t="s">
        <v>10</v>
      </c>
      <c r="K518" s="11" t="str">
        <f>("20622454613359")</f>
        <v>20622454613359</v>
      </c>
      <c r="L518" s="3">
        <v>4</v>
      </c>
      <c r="M518" s="3"/>
    </row>
    <row r="519" spans="1:13" x14ac:dyDescent="0.25">
      <c r="A519" s="3" t="s">
        <v>1371</v>
      </c>
      <c r="B519" s="10" t="s">
        <v>1351</v>
      </c>
      <c r="C519" s="3" t="str">
        <f>("295354")</f>
        <v>295354</v>
      </c>
      <c r="D519" s="11" t="str">
        <f>("622454613379")</f>
        <v>622454613379</v>
      </c>
      <c r="E519" s="3"/>
      <c r="F519" s="8" t="s">
        <v>558</v>
      </c>
      <c r="G519" s="14">
        <v>3162.325985294081</v>
      </c>
      <c r="H519" s="35">
        <v>45689</v>
      </c>
      <c r="I519" s="3">
        <v>101.56699999999999</v>
      </c>
      <c r="J519" s="3" t="s">
        <v>10</v>
      </c>
      <c r="K519" s="11" t="str">
        <f>("10622454613376")</f>
        <v>10622454613376</v>
      </c>
      <c r="L519" s="3">
        <v>2</v>
      </c>
      <c r="M519" s="3"/>
    </row>
    <row r="520" spans="1:13" x14ac:dyDescent="0.25">
      <c r="A520" s="3" t="s">
        <v>1371</v>
      </c>
      <c r="B520" s="10" t="s">
        <v>1351</v>
      </c>
      <c r="C520" s="3" t="str">
        <f>("295356")</f>
        <v>295356</v>
      </c>
      <c r="D520" s="11" t="str">
        <f>("622454613393")</f>
        <v>622454613393</v>
      </c>
      <c r="E520" s="3"/>
      <c r="F520" s="8" t="s">
        <v>559</v>
      </c>
      <c r="G520" s="14">
        <v>5608.9499954489875</v>
      </c>
      <c r="H520" s="35">
        <v>45689</v>
      </c>
      <c r="I520" s="3">
        <v>106.06399999999999</v>
      </c>
      <c r="J520" s="3" t="s">
        <v>10</v>
      </c>
      <c r="K520" s="11" t="str">
        <f>("00622454613393")</f>
        <v>00622454613393</v>
      </c>
      <c r="L520" s="3">
        <v>1</v>
      </c>
      <c r="M520" s="3"/>
    </row>
    <row r="521" spans="1:13" x14ac:dyDescent="0.25">
      <c r="A521" s="3" t="s">
        <v>1371</v>
      </c>
      <c r="B521" s="10" t="s">
        <v>1351</v>
      </c>
      <c r="C521" s="3" t="str">
        <f>("295358")</f>
        <v>295358</v>
      </c>
      <c r="D521" s="11" t="str">
        <f>("622454613416")</f>
        <v>622454613416</v>
      </c>
      <c r="E521" s="3"/>
      <c r="F521" s="8" t="s">
        <v>560</v>
      </c>
      <c r="G521" s="14">
        <v>7361.6307874726635</v>
      </c>
      <c r="H521" s="35">
        <v>45689</v>
      </c>
      <c r="I521" s="3">
        <v>157.608</v>
      </c>
      <c r="J521" s="3" t="s">
        <v>10</v>
      </c>
      <c r="K521" s="11" t="str">
        <f>("00622454613416")</f>
        <v>00622454613416</v>
      </c>
      <c r="L521" s="3">
        <v>1</v>
      </c>
      <c r="M521" s="3"/>
    </row>
    <row r="522" spans="1:13" x14ac:dyDescent="0.25">
      <c r="A522" s="3" t="s">
        <v>1371</v>
      </c>
      <c r="B522" s="10" t="s">
        <v>1351</v>
      </c>
      <c r="C522" s="3" t="str">
        <f>("295360")</f>
        <v>295360</v>
      </c>
      <c r="D522" s="11" t="str">
        <f>("622454613430")</f>
        <v>622454613430</v>
      </c>
      <c r="E522" s="3"/>
      <c r="F522" s="8" t="s">
        <v>561</v>
      </c>
      <c r="G522" s="14">
        <v>10283.872443745804</v>
      </c>
      <c r="H522" s="35">
        <v>45689</v>
      </c>
      <c r="I522" s="3">
        <v>443.17500000000001</v>
      </c>
      <c r="J522" s="3" t="s">
        <v>10</v>
      </c>
      <c r="K522" s="11" t="str">
        <f>("00622454613430")</f>
        <v>00622454613430</v>
      </c>
      <c r="L522" s="3">
        <v>1</v>
      </c>
      <c r="M522" s="3"/>
    </row>
    <row r="523" spans="1:13" x14ac:dyDescent="0.25">
      <c r="A523" s="3" t="s">
        <v>1371</v>
      </c>
      <c r="B523" s="10" t="s">
        <v>1351</v>
      </c>
      <c r="C523" s="3" t="str">
        <f>("295362")</f>
        <v>295362</v>
      </c>
      <c r="D523" s="11" t="str">
        <f>("622454613454")</f>
        <v>622454613454</v>
      </c>
      <c r="E523" s="3"/>
      <c r="F523" s="8" t="s">
        <v>562</v>
      </c>
      <c r="G523" s="14">
        <v>13371.623333653131</v>
      </c>
      <c r="H523" s="35">
        <v>45689</v>
      </c>
      <c r="I523" s="3">
        <v>281.83600000000001</v>
      </c>
      <c r="J523" s="3" t="s">
        <v>10</v>
      </c>
      <c r="K523" s="11" t="str">
        <f>("00622454613454")</f>
        <v>00622454613454</v>
      </c>
      <c r="L523" s="3">
        <v>1</v>
      </c>
      <c r="M523" s="3"/>
    </row>
    <row r="524" spans="1:13" x14ac:dyDescent="0.25">
      <c r="A524" s="3" t="s">
        <v>1371</v>
      </c>
      <c r="B524" s="10" t="s">
        <v>1351</v>
      </c>
      <c r="C524" s="3" t="str">
        <f>("295364")</f>
        <v>295364</v>
      </c>
      <c r="D524" s="11" t="str">
        <f>("622454613478")</f>
        <v>622454613478</v>
      </c>
      <c r="E524" s="3"/>
      <c r="F524" s="8" t="s">
        <v>563</v>
      </c>
      <c r="G524" s="14">
        <v>16648.979220325553</v>
      </c>
      <c r="H524" s="35">
        <v>45689</v>
      </c>
      <c r="I524" s="3">
        <v>463.29399999999998</v>
      </c>
      <c r="J524" s="3" t="s">
        <v>10</v>
      </c>
      <c r="K524" s="11" t="str">
        <f>("00622454613478")</f>
        <v>00622454613478</v>
      </c>
      <c r="L524" s="3">
        <v>1</v>
      </c>
      <c r="M524" s="3"/>
    </row>
    <row r="525" spans="1:13" x14ac:dyDescent="0.25">
      <c r="A525" s="3" t="s">
        <v>1371</v>
      </c>
      <c r="B525" s="10" t="s">
        <v>1351</v>
      </c>
      <c r="C525" s="3" t="str">
        <f>("626098")</f>
        <v>626098</v>
      </c>
      <c r="D525" s="11" t="str">
        <f>("622454868472")</f>
        <v>622454868472</v>
      </c>
      <c r="E525" s="3">
        <v>192355</v>
      </c>
      <c r="F525" s="8" t="s">
        <v>564</v>
      </c>
      <c r="G525" s="14">
        <v>2666.9656017311668</v>
      </c>
      <c r="H525" s="35">
        <v>45689</v>
      </c>
      <c r="I525" s="3">
        <v>5.8070000000000004</v>
      </c>
      <c r="J525" s="3" t="s">
        <v>3</v>
      </c>
      <c r="K525" s="11" t="str">
        <f>("10622454868479")</f>
        <v>10622454868479</v>
      </c>
      <c r="L525" s="3">
        <v>36</v>
      </c>
      <c r="M525" s="3"/>
    </row>
    <row r="526" spans="1:13" x14ac:dyDescent="0.25">
      <c r="A526" s="3" t="s">
        <v>1371</v>
      </c>
      <c r="B526" s="10" t="s">
        <v>1351</v>
      </c>
      <c r="C526" s="3" t="str">
        <f>("295368")</f>
        <v>295368</v>
      </c>
      <c r="D526" s="11" t="str">
        <f>("622454613515")</f>
        <v>622454613515</v>
      </c>
      <c r="E526" s="3"/>
      <c r="F526" s="8" t="s">
        <v>565</v>
      </c>
      <c r="G526" s="14">
        <v>800.76899801477475</v>
      </c>
      <c r="H526" s="35">
        <v>45689</v>
      </c>
      <c r="I526" s="3">
        <v>15.375</v>
      </c>
      <c r="J526" s="3" t="s">
        <v>10</v>
      </c>
      <c r="K526" s="11" t="str">
        <f>("00622454613515")</f>
        <v>00622454613515</v>
      </c>
      <c r="L526" s="3">
        <v>1</v>
      </c>
      <c r="M526" s="3"/>
    </row>
    <row r="527" spans="1:13" x14ac:dyDescent="0.25">
      <c r="A527" s="3" t="s">
        <v>1371</v>
      </c>
      <c r="B527" s="10" t="s">
        <v>1351</v>
      </c>
      <c r="C527" s="3" t="str">
        <f>("295370")</f>
        <v>295370</v>
      </c>
      <c r="D527" s="11" t="str">
        <f>("622454613539")</f>
        <v>622454613539</v>
      </c>
      <c r="E527" s="3"/>
      <c r="F527" s="8" t="s">
        <v>566</v>
      </c>
      <c r="G527" s="14">
        <v>1011.1610492419491</v>
      </c>
      <c r="H527" s="35">
        <v>45689</v>
      </c>
      <c r="I527" s="3">
        <v>22.317</v>
      </c>
      <c r="J527" s="3" t="s">
        <v>10</v>
      </c>
      <c r="K527" s="11" t="str">
        <f>("10622454613536")</f>
        <v>10622454613536</v>
      </c>
      <c r="L527" s="3">
        <v>7</v>
      </c>
      <c r="M527" s="3"/>
    </row>
    <row r="528" spans="1:13" x14ac:dyDescent="0.25">
      <c r="A528" s="3" t="s">
        <v>1371</v>
      </c>
      <c r="B528" s="10" t="s">
        <v>1351</v>
      </c>
      <c r="C528" s="3" t="str">
        <f>("295372")</f>
        <v>295372</v>
      </c>
      <c r="D528" s="11" t="str">
        <f>("622454613553")</f>
        <v>622454613553</v>
      </c>
      <c r="E528" s="3"/>
      <c r="F528" s="8" t="s">
        <v>567</v>
      </c>
      <c r="G528" s="14">
        <v>1122.9683421770565</v>
      </c>
      <c r="H528" s="35">
        <v>45689</v>
      </c>
      <c r="I528" s="3">
        <v>19.917000000000002</v>
      </c>
      <c r="J528" s="3" t="s">
        <v>10</v>
      </c>
      <c r="K528" s="11" t="str">
        <f>("00622454613553")</f>
        <v>00622454613553</v>
      </c>
      <c r="L528" s="3">
        <v>1</v>
      </c>
      <c r="M528" s="3"/>
    </row>
    <row r="529" spans="1:13" x14ac:dyDescent="0.25">
      <c r="A529" s="3" t="s">
        <v>1371</v>
      </c>
      <c r="B529" s="10" t="s">
        <v>1351</v>
      </c>
      <c r="C529" s="3" t="str">
        <f>("295374")</f>
        <v>295374</v>
      </c>
      <c r="D529" s="11" t="str">
        <f>("622454613577")</f>
        <v>622454613577</v>
      </c>
      <c r="E529" s="3"/>
      <c r="F529" s="8" t="s">
        <v>568</v>
      </c>
      <c r="G529" s="14">
        <v>1389.1533395817498</v>
      </c>
      <c r="H529" s="35">
        <v>45689</v>
      </c>
      <c r="I529" s="3">
        <v>29.510999999999999</v>
      </c>
      <c r="J529" s="3" t="s">
        <v>10</v>
      </c>
      <c r="K529" s="11" t="str">
        <f>("00622454613577")</f>
        <v>00622454613577</v>
      </c>
      <c r="L529" s="3">
        <v>1</v>
      </c>
      <c r="M529" s="3"/>
    </row>
    <row r="530" spans="1:13" x14ac:dyDescent="0.25">
      <c r="A530" s="3" t="s">
        <v>1371</v>
      </c>
      <c r="B530" s="10" t="s">
        <v>1351</v>
      </c>
      <c r="C530" s="3" t="str">
        <f>("295376")</f>
        <v>295376</v>
      </c>
      <c r="D530" s="11" t="str">
        <f>("622454613591")</f>
        <v>622454613591</v>
      </c>
      <c r="E530" s="3"/>
      <c r="F530" s="8" t="s">
        <v>569</v>
      </c>
      <c r="G530" s="14">
        <v>1682.0909070781763</v>
      </c>
      <c r="H530" s="35">
        <v>45689</v>
      </c>
      <c r="I530" s="3">
        <v>43.645000000000003</v>
      </c>
      <c r="J530" s="3" t="s">
        <v>10</v>
      </c>
      <c r="K530" s="11" t="str">
        <f>("00622454613591")</f>
        <v>00622454613591</v>
      </c>
      <c r="L530" s="3">
        <v>1</v>
      </c>
      <c r="M530" s="3"/>
    </row>
    <row r="531" spans="1:13" x14ac:dyDescent="0.25">
      <c r="A531" s="3" t="s">
        <v>1371</v>
      </c>
      <c r="B531" s="10" t="s">
        <v>1351</v>
      </c>
      <c r="C531" s="3" t="str">
        <f>("295378")</f>
        <v>295378</v>
      </c>
      <c r="D531" s="11" t="str">
        <f>("622454613621")</f>
        <v>622454613621</v>
      </c>
      <c r="E531" s="3"/>
      <c r="F531" s="8" t="s">
        <v>570</v>
      </c>
      <c r="G531" s="14">
        <v>1463.039633163839</v>
      </c>
      <c r="H531" s="35">
        <v>45689</v>
      </c>
      <c r="I531" s="3">
        <v>25.962</v>
      </c>
      <c r="J531" s="3" t="s">
        <v>10</v>
      </c>
      <c r="K531" s="11" t="str">
        <f>("00622454613621")</f>
        <v>00622454613621</v>
      </c>
      <c r="L531" s="3">
        <v>1</v>
      </c>
      <c r="M531" s="3"/>
    </row>
    <row r="532" spans="1:13" x14ac:dyDescent="0.25">
      <c r="A532" s="3" t="s">
        <v>1371</v>
      </c>
      <c r="B532" s="10" t="s">
        <v>1351</v>
      </c>
      <c r="C532" s="3" t="str">
        <f>("295380")</f>
        <v>295380</v>
      </c>
      <c r="D532" s="11" t="str">
        <f>("622454613645")</f>
        <v>622454613645</v>
      </c>
      <c r="E532" s="3"/>
      <c r="F532" s="8" t="s">
        <v>571</v>
      </c>
      <c r="G532" s="14">
        <v>1741.6107630201991</v>
      </c>
      <c r="H532" s="35">
        <v>45689</v>
      </c>
      <c r="I532" s="3">
        <v>35.677</v>
      </c>
      <c r="J532" s="3" t="s">
        <v>10</v>
      </c>
      <c r="K532" s="11" t="str">
        <f>("00622454613645")</f>
        <v>00622454613645</v>
      </c>
      <c r="L532" s="3">
        <v>1</v>
      </c>
      <c r="M532" s="3"/>
    </row>
    <row r="533" spans="1:13" x14ac:dyDescent="0.25">
      <c r="A533" s="3" t="s">
        <v>1371</v>
      </c>
      <c r="B533" s="10" t="s">
        <v>1351</v>
      </c>
      <c r="C533" s="3" t="str">
        <f>("295382")</f>
        <v>295382</v>
      </c>
      <c r="D533" s="11" t="str">
        <f>("622454613669")</f>
        <v>622454613669</v>
      </c>
      <c r="E533" s="3"/>
      <c r="F533" s="8" t="s">
        <v>572</v>
      </c>
      <c r="G533" s="14">
        <v>2223.0586244135957</v>
      </c>
      <c r="H533" s="35">
        <v>45689</v>
      </c>
      <c r="I533" s="3">
        <v>50.692999999999998</v>
      </c>
      <c r="J533" s="3" t="s">
        <v>10</v>
      </c>
      <c r="K533" s="11" t="str">
        <f>("00622454613669")</f>
        <v>00622454613669</v>
      </c>
      <c r="L533" s="3">
        <v>1</v>
      </c>
      <c r="M533" s="3"/>
    </row>
    <row r="534" spans="1:13" x14ac:dyDescent="0.25">
      <c r="A534" s="3" t="s">
        <v>1371</v>
      </c>
      <c r="B534" s="10" t="s">
        <v>1351</v>
      </c>
      <c r="C534" s="3" t="str">
        <f>("295384")</f>
        <v>295384</v>
      </c>
      <c r="D534" s="11" t="str">
        <f>("622454613683")</f>
        <v>622454613683</v>
      </c>
      <c r="E534" s="3"/>
      <c r="F534" s="8" t="s">
        <v>573</v>
      </c>
      <c r="G534" s="14">
        <v>2845.9691564391901</v>
      </c>
      <c r="H534" s="35">
        <v>45689</v>
      </c>
      <c r="I534" s="3">
        <v>64.918999999999997</v>
      </c>
      <c r="J534" s="3" t="s">
        <v>10</v>
      </c>
      <c r="K534" s="11" t="str">
        <f>("10622454613680")</f>
        <v>10622454613680</v>
      </c>
      <c r="L534" s="3">
        <v>3</v>
      </c>
      <c r="M534" s="3"/>
    </row>
    <row r="535" spans="1:13" x14ac:dyDescent="0.25">
      <c r="A535" s="3" t="s">
        <v>1371</v>
      </c>
      <c r="B535" s="10" t="s">
        <v>1351</v>
      </c>
      <c r="C535" s="3" t="str">
        <f>("295386")</f>
        <v>295386</v>
      </c>
      <c r="D535" s="11" t="str">
        <f>("622454613706")</f>
        <v>622454613706</v>
      </c>
      <c r="E535" s="3"/>
      <c r="F535" s="8" t="s">
        <v>574</v>
      </c>
      <c r="G535" s="14">
        <v>2915.3290381620795</v>
      </c>
      <c r="H535" s="35">
        <v>45689</v>
      </c>
      <c r="I535" s="3">
        <v>31.12</v>
      </c>
      <c r="J535" s="3" t="s">
        <v>10</v>
      </c>
      <c r="K535" s="11" t="str">
        <f>("00622454613706")</f>
        <v>00622454613706</v>
      </c>
      <c r="L535" s="3">
        <v>1</v>
      </c>
      <c r="M535" s="3"/>
    </row>
    <row r="536" spans="1:13" x14ac:dyDescent="0.25">
      <c r="A536" s="3" t="s">
        <v>1371</v>
      </c>
      <c r="B536" s="10" t="s">
        <v>1351</v>
      </c>
      <c r="C536" s="3" t="str">
        <f>("295388")</f>
        <v>295388</v>
      </c>
      <c r="D536" s="11" t="str">
        <f>("622454613720")</f>
        <v>622454613720</v>
      </c>
      <c r="E536" s="3"/>
      <c r="F536" s="8" t="s">
        <v>575</v>
      </c>
      <c r="G536" s="14">
        <v>3245.4988032068641</v>
      </c>
      <c r="H536" s="35">
        <v>45689</v>
      </c>
      <c r="I536" s="3">
        <v>39.923000000000002</v>
      </c>
      <c r="J536" s="3" t="s">
        <v>10</v>
      </c>
      <c r="K536" s="11" t="str">
        <f>("00622454613720")</f>
        <v>00622454613720</v>
      </c>
      <c r="L536" s="3">
        <v>1</v>
      </c>
      <c r="M536" s="3"/>
    </row>
    <row r="537" spans="1:13" x14ac:dyDescent="0.25">
      <c r="A537" s="3" t="s">
        <v>1371</v>
      </c>
      <c r="B537" s="10" t="s">
        <v>1351</v>
      </c>
      <c r="C537" s="3" t="str">
        <f>("295390")</f>
        <v>295390</v>
      </c>
      <c r="D537" s="11" t="str">
        <f>("622454613744")</f>
        <v>622454613744</v>
      </c>
      <c r="E537" s="3"/>
      <c r="F537" s="8" t="s">
        <v>576</v>
      </c>
      <c r="G537" s="14">
        <v>3761.0915540598712</v>
      </c>
      <c r="H537" s="35">
        <v>45689</v>
      </c>
      <c r="I537" s="3">
        <v>50.57</v>
      </c>
      <c r="J537" s="3" t="s">
        <v>10</v>
      </c>
      <c r="K537" s="11" t="str">
        <f>("00622454613744")</f>
        <v>00622454613744</v>
      </c>
      <c r="L537" s="3">
        <v>1</v>
      </c>
      <c r="M537" s="3"/>
    </row>
    <row r="538" spans="1:13" x14ac:dyDescent="0.25">
      <c r="A538" s="3" t="s">
        <v>1371</v>
      </c>
      <c r="B538" s="10" t="s">
        <v>1351</v>
      </c>
      <c r="C538" s="3" t="str">
        <f>("295392")</f>
        <v>295392</v>
      </c>
      <c r="D538" s="11" t="str">
        <f>("622454613768")</f>
        <v>622454613768</v>
      </c>
      <c r="E538" s="3"/>
      <c r="F538" s="8" t="s">
        <v>577</v>
      </c>
      <c r="G538" s="14">
        <v>3974.7431138269585</v>
      </c>
      <c r="H538" s="35">
        <v>45689</v>
      </c>
      <c r="I538" s="3">
        <v>66.983000000000004</v>
      </c>
      <c r="J538" s="3" t="s">
        <v>10</v>
      </c>
      <c r="K538" s="11" t="str">
        <f>("00622454613768")</f>
        <v>00622454613768</v>
      </c>
      <c r="L538" s="3">
        <v>1</v>
      </c>
      <c r="M538" s="3"/>
    </row>
    <row r="539" spans="1:13" x14ac:dyDescent="0.25">
      <c r="A539" s="3" t="s">
        <v>1371</v>
      </c>
      <c r="B539" s="10" t="s">
        <v>1351</v>
      </c>
      <c r="C539" s="3" t="str">
        <f>("295394")</f>
        <v>295394</v>
      </c>
      <c r="D539" s="11" t="str">
        <f>("622454613782")</f>
        <v>622454613782</v>
      </c>
      <c r="E539" s="3"/>
      <c r="F539" s="8" t="s">
        <v>578</v>
      </c>
      <c r="G539" s="14">
        <v>5147.6495868419161</v>
      </c>
      <c r="H539" s="35">
        <v>45689</v>
      </c>
      <c r="I539" s="3">
        <v>85.448999999999998</v>
      </c>
      <c r="J539" s="3" t="s">
        <v>10</v>
      </c>
      <c r="K539" s="11" t="str">
        <f>("00622454613782")</f>
        <v>00622454613782</v>
      </c>
      <c r="L539" s="3">
        <v>1</v>
      </c>
      <c r="M539" s="3"/>
    </row>
    <row r="540" spans="1:13" x14ac:dyDescent="0.25">
      <c r="A540" s="3" t="s">
        <v>1371</v>
      </c>
      <c r="B540" s="10" t="s">
        <v>1351</v>
      </c>
      <c r="C540" s="3" t="str">
        <f>("295396")</f>
        <v>295396</v>
      </c>
      <c r="D540" s="11" t="str">
        <f>("622454613805")</f>
        <v>622454613805</v>
      </c>
      <c r="E540" s="3"/>
      <c r="F540" s="8" t="s">
        <v>579</v>
      </c>
      <c r="G540" s="14">
        <v>3717.4879398184025</v>
      </c>
      <c r="H540" s="35">
        <v>45689</v>
      </c>
      <c r="I540" s="3">
        <v>43.088999999999999</v>
      </c>
      <c r="J540" s="3" t="s">
        <v>10</v>
      </c>
      <c r="K540" s="11" t="str">
        <f>("00622454613805")</f>
        <v>00622454613805</v>
      </c>
      <c r="L540" s="3">
        <v>1</v>
      </c>
      <c r="M540" s="3"/>
    </row>
    <row r="541" spans="1:13" x14ac:dyDescent="0.25">
      <c r="A541" s="3" t="s">
        <v>1371</v>
      </c>
      <c r="B541" s="10" t="s">
        <v>1351</v>
      </c>
      <c r="C541" s="3" t="str">
        <f>("295398")</f>
        <v>295398</v>
      </c>
      <c r="D541" s="11" t="str">
        <f>("622454613829")</f>
        <v>622454613829</v>
      </c>
      <c r="E541" s="3"/>
      <c r="F541" s="8" t="s">
        <v>580</v>
      </c>
      <c r="G541" s="14">
        <v>3932.7262037426531</v>
      </c>
      <c r="H541" s="35">
        <v>45689</v>
      </c>
      <c r="I541" s="3">
        <v>55.314</v>
      </c>
      <c r="J541" s="3" t="s">
        <v>10</v>
      </c>
      <c r="K541" s="11" t="str">
        <f>("00622454613829")</f>
        <v>00622454613829</v>
      </c>
      <c r="L541" s="3">
        <v>1</v>
      </c>
      <c r="M541" s="3"/>
    </row>
    <row r="542" spans="1:13" x14ac:dyDescent="0.25">
      <c r="A542" s="3" t="s">
        <v>1371</v>
      </c>
      <c r="B542" s="10" t="s">
        <v>1351</v>
      </c>
      <c r="C542" s="3" t="str">
        <f>("295400")</f>
        <v>295400</v>
      </c>
      <c r="D542" s="11" t="str">
        <f>("622454613843")</f>
        <v>622454613843</v>
      </c>
      <c r="E542" s="3"/>
      <c r="F542" s="8" t="s">
        <v>581</v>
      </c>
      <c r="G542" s="14">
        <v>4304.3716774537943</v>
      </c>
      <c r="H542" s="35">
        <v>45689</v>
      </c>
      <c r="I542" s="3">
        <v>64.265000000000001</v>
      </c>
      <c r="J542" s="3" t="s">
        <v>10</v>
      </c>
      <c r="K542" s="11" t="str">
        <f>("00622454613843")</f>
        <v>00622454613843</v>
      </c>
      <c r="L542" s="3">
        <v>1</v>
      </c>
      <c r="M542" s="3"/>
    </row>
    <row r="543" spans="1:13" x14ac:dyDescent="0.25">
      <c r="A543" s="3" t="s">
        <v>1371</v>
      </c>
      <c r="B543" s="10" t="s">
        <v>1351</v>
      </c>
      <c r="C543" s="3" t="str">
        <f>("295402")</f>
        <v>295402</v>
      </c>
      <c r="D543" s="11" t="str">
        <f>("622454613867")</f>
        <v>622454613867</v>
      </c>
      <c r="E543" s="3"/>
      <c r="F543" s="8" t="s">
        <v>582</v>
      </c>
      <c r="G543" s="14">
        <v>5272.0029126476311</v>
      </c>
      <c r="H543" s="35">
        <v>45689</v>
      </c>
      <c r="I543" s="3">
        <v>90.98</v>
      </c>
      <c r="J543" s="3" t="s">
        <v>10</v>
      </c>
      <c r="K543" s="11" t="str">
        <f>("00622454613867")</f>
        <v>00622454613867</v>
      </c>
      <c r="L543" s="3">
        <v>1</v>
      </c>
      <c r="M543" s="3"/>
    </row>
    <row r="544" spans="1:13" x14ac:dyDescent="0.25">
      <c r="A544" s="3" t="s">
        <v>1371</v>
      </c>
      <c r="B544" s="10" t="s">
        <v>1351</v>
      </c>
      <c r="C544" s="3" t="str">
        <f>("295404")</f>
        <v>295404</v>
      </c>
      <c r="D544" s="11" t="str">
        <f>("622454613881")</f>
        <v>622454613881</v>
      </c>
      <c r="E544" s="3"/>
      <c r="F544" s="8" t="s">
        <v>583</v>
      </c>
      <c r="G544" s="14">
        <v>5681.7415861629552</v>
      </c>
      <c r="H544" s="35">
        <v>45689</v>
      </c>
      <c r="I544" s="3">
        <v>113.827</v>
      </c>
      <c r="J544" s="3" t="s">
        <v>10</v>
      </c>
      <c r="K544" s="11" t="str">
        <f>("00622454613881")</f>
        <v>00622454613881</v>
      </c>
      <c r="L544" s="3">
        <v>1</v>
      </c>
      <c r="M544" s="3"/>
    </row>
    <row r="545" spans="1:13" x14ac:dyDescent="0.25">
      <c r="A545" s="3" t="s">
        <v>1371</v>
      </c>
      <c r="B545" s="10" t="s">
        <v>1351</v>
      </c>
      <c r="C545" s="3" t="str">
        <f>("295406")</f>
        <v>295406</v>
      </c>
      <c r="D545" s="11" t="str">
        <f>("622454613904")</f>
        <v>622454613904</v>
      </c>
      <c r="E545" s="3"/>
      <c r="F545" s="8" t="s">
        <v>584</v>
      </c>
      <c r="G545" s="14">
        <v>6804.2302270831951</v>
      </c>
      <c r="H545" s="35">
        <v>45689</v>
      </c>
      <c r="I545" s="3">
        <v>121.82299999999999</v>
      </c>
      <c r="J545" s="3" t="s">
        <v>10</v>
      </c>
      <c r="K545" s="11" t="str">
        <f>("00622454613904")</f>
        <v>00622454613904</v>
      </c>
      <c r="L545" s="3">
        <v>1</v>
      </c>
      <c r="M545" s="3"/>
    </row>
    <row r="546" spans="1:13" x14ac:dyDescent="0.25">
      <c r="A546" s="3" t="s">
        <v>1371</v>
      </c>
      <c r="B546" s="10" t="s">
        <v>1351</v>
      </c>
      <c r="C546" s="3" t="str">
        <f>("295408")</f>
        <v>295408</v>
      </c>
      <c r="D546" s="11" t="str">
        <f>("622454613928")</f>
        <v>622454613928</v>
      </c>
      <c r="E546" s="3"/>
      <c r="F546" s="8" t="s">
        <v>585</v>
      </c>
      <c r="G546" s="14">
        <v>5675.6530702110449</v>
      </c>
      <c r="H546" s="35">
        <v>45689</v>
      </c>
      <c r="I546" s="3">
        <v>58.253</v>
      </c>
      <c r="J546" s="3" t="s">
        <v>10</v>
      </c>
      <c r="K546" s="11" t="str">
        <f>("00622454613928")</f>
        <v>00622454613928</v>
      </c>
      <c r="L546" s="3">
        <v>1</v>
      </c>
      <c r="M546" s="3"/>
    </row>
    <row r="547" spans="1:13" x14ac:dyDescent="0.25">
      <c r="A547" s="3" t="s">
        <v>1371</v>
      </c>
      <c r="B547" s="10" t="s">
        <v>1351</v>
      </c>
      <c r="C547" s="3" t="str">
        <f>("295410")</f>
        <v>295410</v>
      </c>
      <c r="D547" s="11" t="str">
        <f>("622454613942")</f>
        <v>622454613942</v>
      </c>
      <c r="E547" s="3"/>
      <c r="F547" s="8" t="s">
        <v>586</v>
      </c>
      <c r="G547" s="14">
        <v>5767.1776100053376</v>
      </c>
      <c r="H547" s="35">
        <v>45689</v>
      </c>
      <c r="I547" s="3">
        <v>20.448</v>
      </c>
      <c r="J547" s="3" t="s">
        <v>10</v>
      </c>
      <c r="K547" s="11" t="str">
        <f>("00622454613942")</f>
        <v>00622454613942</v>
      </c>
      <c r="L547" s="3">
        <v>1</v>
      </c>
      <c r="M547" s="3"/>
    </row>
    <row r="548" spans="1:13" x14ac:dyDescent="0.25">
      <c r="A548" s="3" t="s">
        <v>1371</v>
      </c>
      <c r="B548" s="10" t="s">
        <v>1351</v>
      </c>
      <c r="C548" s="3" t="str">
        <f>("295412")</f>
        <v>295412</v>
      </c>
      <c r="D548" s="11" t="str">
        <f>("622454613966")</f>
        <v>622454613966</v>
      </c>
      <c r="E548" s="3"/>
      <c r="F548" s="8" t="s">
        <v>587</v>
      </c>
      <c r="G548" s="14">
        <v>6185.2557053699475</v>
      </c>
      <c r="H548" s="35">
        <v>45689</v>
      </c>
      <c r="I548" s="3">
        <v>81.924000000000007</v>
      </c>
      <c r="J548" s="3" t="s">
        <v>10</v>
      </c>
      <c r="K548" s="11" t="str">
        <f>("00622454613966")</f>
        <v>00622454613966</v>
      </c>
      <c r="L548" s="3">
        <v>1</v>
      </c>
      <c r="M548" s="3"/>
    </row>
    <row r="549" spans="1:13" x14ac:dyDescent="0.25">
      <c r="A549" s="3" t="s">
        <v>1371</v>
      </c>
      <c r="B549" s="10" t="s">
        <v>1351</v>
      </c>
      <c r="C549" s="3" t="str">
        <f>("295414")</f>
        <v>295414</v>
      </c>
      <c r="D549" s="11" t="str">
        <f>("622454613980")</f>
        <v>622454613980</v>
      </c>
      <c r="E549" s="3"/>
      <c r="F549" s="8" t="s">
        <v>588</v>
      </c>
      <c r="G549" s="14">
        <v>7530.6947304201931</v>
      </c>
      <c r="H549" s="35">
        <v>45689</v>
      </c>
      <c r="I549" s="3">
        <v>100.381</v>
      </c>
      <c r="J549" s="3" t="s">
        <v>10</v>
      </c>
      <c r="K549" s="11" t="str">
        <f>("00622454613980")</f>
        <v>00622454613980</v>
      </c>
      <c r="L549" s="3">
        <v>1</v>
      </c>
      <c r="M549" s="3"/>
    </row>
    <row r="550" spans="1:13" x14ac:dyDescent="0.25">
      <c r="A550" s="3" t="s">
        <v>1371</v>
      </c>
      <c r="B550" s="10" t="s">
        <v>1351</v>
      </c>
      <c r="C550" s="3" t="str">
        <f>("295416")</f>
        <v>295416</v>
      </c>
      <c r="D550" s="11" t="str">
        <f>("622454614000")</f>
        <v>622454614000</v>
      </c>
      <c r="E550" s="3"/>
      <c r="F550" s="8" t="s">
        <v>589</v>
      </c>
      <c r="G550" s="14">
        <v>7671.0503981520424</v>
      </c>
      <c r="H550" s="35">
        <v>45689</v>
      </c>
      <c r="I550" s="3">
        <v>130.827</v>
      </c>
      <c r="J550" s="3" t="s">
        <v>10</v>
      </c>
      <c r="K550" s="11" t="str">
        <f>("00622454614000")</f>
        <v>00622454614000</v>
      </c>
      <c r="L550" s="3">
        <v>1</v>
      </c>
      <c r="M550" s="3"/>
    </row>
    <row r="551" spans="1:13" x14ac:dyDescent="0.25">
      <c r="A551" s="3" t="s">
        <v>1371</v>
      </c>
      <c r="B551" s="10" t="s">
        <v>1351</v>
      </c>
      <c r="C551" s="3" t="str">
        <f>("295418")</f>
        <v>295418</v>
      </c>
      <c r="D551" s="11" t="str">
        <f>("622454614024")</f>
        <v>622454614024</v>
      </c>
      <c r="E551" s="3"/>
      <c r="F551" s="8" t="s">
        <v>590</v>
      </c>
      <c r="G551" s="14">
        <v>8236.9379807775094</v>
      </c>
      <c r="H551" s="35">
        <v>45689</v>
      </c>
      <c r="I551" s="3">
        <v>142.02799999999999</v>
      </c>
      <c r="J551" s="3" t="s">
        <v>10</v>
      </c>
      <c r="K551" s="11" t="str">
        <f>("00622454614024")</f>
        <v>00622454614024</v>
      </c>
      <c r="L551" s="3">
        <v>1</v>
      </c>
      <c r="M551" s="3"/>
    </row>
    <row r="552" spans="1:13" x14ac:dyDescent="0.25">
      <c r="A552" s="3" t="s">
        <v>1371</v>
      </c>
      <c r="B552" s="10" t="s">
        <v>1351</v>
      </c>
      <c r="C552" s="3" t="str">
        <f>("295420")</f>
        <v>295420</v>
      </c>
      <c r="D552" s="11" t="str">
        <f>("622454614048")</f>
        <v>622454614048</v>
      </c>
      <c r="E552" s="3"/>
      <c r="F552" s="8" t="s">
        <v>591</v>
      </c>
      <c r="G552" s="14">
        <v>8453.5538483110831</v>
      </c>
      <c r="H552" s="35">
        <v>45689</v>
      </c>
      <c r="I552" s="3">
        <v>205.614</v>
      </c>
      <c r="J552" s="3" t="s">
        <v>10</v>
      </c>
      <c r="K552" s="11" t="str">
        <f>("00622454614048")</f>
        <v>00622454614048</v>
      </c>
      <c r="L552" s="3">
        <v>1</v>
      </c>
      <c r="M552" s="3"/>
    </row>
    <row r="553" spans="1:13" x14ac:dyDescent="0.25">
      <c r="A553" s="3" t="s">
        <v>1371</v>
      </c>
      <c r="B553" s="10" t="s">
        <v>1351</v>
      </c>
      <c r="C553" s="3" t="str">
        <f>("295422")</f>
        <v>295422</v>
      </c>
      <c r="D553" s="11" t="str">
        <f>("622454614062")</f>
        <v>622454614062</v>
      </c>
      <c r="E553" s="3"/>
      <c r="F553" s="8" t="s">
        <v>592</v>
      </c>
      <c r="G553" s="14">
        <v>6437.5539663913924</v>
      </c>
      <c r="H553" s="35">
        <v>45689</v>
      </c>
      <c r="I553" s="3">
        <v>72.488</v>
      </c>
      <c r="J553" s="3" t="s">
        <v>10</v>
      </c>
      <c r="K553" s="11" t="str">
        <f>("00622454614062")</f>
        <v>00622454614062</v>
      </c>
      <c r="L553" s="3">
        <v>1</v>
      </c>
      <c r="M553" s="3"/>
    </row>
    <row r="554" spans="1:13" x14ac:dyDescent="0.25">
      <c r="A554" s="3" t="s">
        <v>1371</v>
      </c>
      <c r="B554" s="10" t="s">
        <v>1351</v>
      </c>
      <c r="C554" s="3" t="str">
        <f>("295424")</f>
        <v>295424</v>
      </c>
      <c r="D554" s="11" t="str">
        <f>("622454614086")</f>
        <v>622454614086</v>
      </c>
      <c r="E554" s="3"/>
      <c r="F554" s="8" t="s">
        <v>593</v>
      </c>
      <c r="G554" s="14">
        <v>6771.9795425864013</v>
      </c>
      <c r="H554" s="35">
        <v>45689</v>
      </c>
      <c r="I554" s="3">
        <v>84.159000000000006</v>
      </c>
      <c r="J554" s="3" t="s">
        <v>10</v>
      </c>
      <c r="K554" s="11" t="str">
        <f>("00622454614086")</f>
        <v>00622454614086</v>
      </c>
      <c r="L554" s="3">
        <v>1</v>
      </c>
      <c r="M554" s="3"/>
    </row>
    <row r="555" spans="1:13" x14ac:dyDescent="0.25">
      <c r="A555" s="3" t="s">
        <v>1371</v>
      </c>
      <c r="B555" s="10" t="s">
        <v>1351</v>
      </c>
      <c r="C555" s="3" t="str">
        <f>("295426")</f>
        <v>295426</v>
      </c>
      <c r="D555" s="11" t="str">
        <f>("622454614109")</f>
        <v>622454614109</v>
      </c>
      <c r="E555" s="3"/>
      <c r="F555" s="8" t="s">
        <v>594</v>
      </c>
      <c r="G555" s="14">
        <v>6884.1312364238393</v>
      </c>
      <c r="H555" s="35">
        <v>45689</v>
      </c>
      <c r="I555" s="3">
        <v>97.463999999999999</v>
      </c>
      <c r="J555" s="3" t="s">
        <v>10</v>
      </c>
      <c r="K555" s="11" t="str">
        <f>("00622454614109")</f>
        <v>00622454614109</v>
      </c>
      <c r="L555" s="3">
        <v>1</v>
      </c>
      <c r="M555" s="3"/>
    </row>
    <row r="556" spans="1:13" x14ac:dyDescent="0.25">
      <c r="A556" s="3" t="s">
        <v>1371</v>
      </c>
      <c r="B556" s="10" t="s">
        <v>1351</v>
      </c>
      <c r="C556" s="3" t="str">
        <f>("295428")</f>
        <v>295428</v>
      </c>
      <c r="D556" s="11" t="str">
        <f>("622454614123")</f>
        <v>622454614123</v>
      </c>
      <c r="E556" s="3"/>
      <c r="F556" s="8" t="s">
        <v>595</v>
      </c>
      <c r="G556" s="14">
        <v>9065.7633522999822</v>
      </c>
      <c r="H556" s="35">
        <v>45689</v>
      </c>
      <c r="I556" s="3">
        <v>116.649</v>
      </c>
      <c r="J556" s="3" t="s">
        <v>10</v>
      </c>
      <c r="K556" s="11" t="str">
        <f>("00622454614123")</f>
        <v>00622454614123</v>
      </c>
      <c r="L556" s="3">
        <v>1</v>
      </c>
      <c r="M556" s="3"/>
    </row>
    <row r="557" spans="1:13" x14ac:dyDescent="0.25">
      <c r="A557" s="3" t="s">
        <v>1371</v>
      </c>
      <c r="B557" s="10" t="s">
        <v>1351</v>
      </c>
      <c r="C557" s="3" t="str">
        <f>("295430")</f>
        <v>295430</v>
      </c>
      <c r="D557" s="11" t="str">
        <f>("622454614147")</f>
        <v>622454614147</v>
      </c>
      <c r="E557" s="3"/>
      <c r="F557" s="8" t="s">
        <v>596</v>
      </c>
      <c r="G557" s="14">
        <v>9923.9735008105708</v>
      </c>
      <c r="H557" s="35">
        <v>45689</v>
      </c>
      <c r="I557" s="3">
        <v>142.804</v>
      </c>
      <c r="J557" s="3" t="s">
        <v>10</v>
      </c>
      <c r="K557" s="11" t="str">
        <f>("00622454614147")</f>
        <v>00622454614147</v>
      </c>
      <c r="L557" s="3">
        <v>1</v>
      </c>
      <c r="M557" s="3"/>
    </row>
    <row r="558" spans="1:13" x14ac:dyDescent="0.25">
      <c r="A558" s="3" t="s">
        <v>1371</v>
      </c>
      <c r="B558" s="10" t="s">
        <v>1351</v>
      </c>
      <c r="C558" s="3" t="str">
        <f>("295432")</f>
        <v>295432</v>
      </c>
      <c r="D558" s="11" t="str">
        <f>("622454614161")</f>
        <v>622454614161</v>
      </c>
      <c r="E558" s="3"/>
      <c r="F558" s="8" t="s">
        <v>597</v>
      </c>
      <c r="G558" s="14">
        <v>10838.197996078748</v>
      </c>
      <c r="H558" s="35">
        <v>45689</v>
      </c>
      <c r="I558" s="3">
        <v>160.113</v>
      </c>
      <c r="J558" s="3" t="s">
        <v>10</v>
      </c>
      <c r="K558" s="11" t="str">
        <f>("00622454614161")</f>
        <v>00622454614161</v>
      </c>
      <c r="L558" s="3">
        <v>1</v>
      </c>
      <c r="M558" s="3"/>
    </row>
    <row r="559" spans="1:13" x14ac:dyDescent="0.25">
      <c r="A559" s="3" t="s">
        <v>1371</v>
      </c>
      <c r="B559" s="10" t="s">
        <v>1351</v>
      </c>
      <c r="C559" s="3" t="str">
        <f>("295434")</f>
        <v>295434</v>
      </c>
      <c r="D559" s="11" t="str">
        <f>("622454614185")</f>
        <v>622454614185</v>
      </c>
      <c r="E559" s="3"/>
      <c r="F559" s="8" t="s">
        <v>598</v>
      </c>
      <c r="G559" s="14">
        <v>11826.76388612138</v>
      </c>
      <c r="H559" s="35">
        <v>45689</v>
      </c>
      <c r="I559" s="3">
        <v>194.48500000000001</v>
      </c>
      <c r="J559" s="3" t="s">
        <v>10</v>
      </c>
      <c r="K559" s="11" t="str">
        <f>("00622454614185")</f>
        <v>00622454614185</v>
      </c>
      <c r="L559" s="3">
        <v>1</v>
      </c>
      <c r="M559" s="3"/>
    </row>
    <row r="560" spans="1:13" x14ac:dyDescent="0.25">
      <c r="A560" s="3" t="s">
        <v>1371</v>
      </c>
      <c r="B560" s="10" t="s">
        <v>1351</v>
      </c>
      <c r="C560" s="3" t="str">
        <f>("295436")</f>
        <v>295436</v>
      </c>
      <c r="D560" s="11" t="str">
        <f>("622454614208")</f>
        <v>622454614208</v>
      </c>
      <c r="E560" s="3"/>
      <c r="F560" s="8" t="s">
        <v>599</v>
      </c>
      <c r="G560" s="14">
        <v>12934.775389111519</v>
      </c>
      <c r="H560" s="35">
        <v>45689</v>
      </c>
      <c r="I560" s="3">
        <v>240.18700000000001</v>
      </c>
      <c r="J560" s="3" t="s">
        <v>10</v>
      </c>
      <c r="K560" s="11" t="str">
        <f>("00622454614208")</f>
        <v>00622454614208</v>
      </c>
      <c r="L560" s="3">
        <v>1</v>
      </c>
      <c r="M560" s="3"/>
    </row>
    <row r="561" spans="1:13" x14ac:dyDescent="0.25">
      <c r="A561" s="3" t="s">
        <v>1371</v>
      </c>
      <c r="B561" s="10" t="s">
        <v>1351</v>
      </c>
      <c r="C561" s="3" t="str">
        <f>("295438")</f>
        <v>295438</v>
      </c>
      <c r="D561" s="11" t="str">
        <f>("622454614222")</f>
        <v>622454614222</v>
      </c>
      <c r="E561" s="3"/>
      <c r="F561" s="8" t="s">
        <v>600</v>
      </c>
      <c r="G561" s="14">
        <v>8294.5390316922621</v>
      </c>
      <c r="H561" s="35">
        <v>45689</v>
      </c>
      <c r="I561" s="3">
        <v>113.223</v>
      </c>
      <c r="J561" s="3" t="s">
        <v>10</v>
      </c>
      <c r="K561" s="11" t="str">
        <f>("00622454614222")</f>
        <v>00622454614222</v>
      </c>
      <c r="L561" s="3">
        <v>1</v>
      </c>
      <c r="M561" s="3"/>
    </row>
    <row r="562" spans="1:13" x14ac:dyDescent="0.25">
      <c r="A562" s="3" t="s">
        <v>1371</v>
      </c>
      <c r="B562" s="10" t="s">
        <v>1351</v>
      </c>
      <c r="C562" s="3" t="str">
        <f>("295440")</f>
        <v>295440</v>
      </c>
      <c r="D562" s="11" t="str">
        <f>("622454614246")</f>
        <v>622454614246</v>
      </c>
      <c r="E562" s="3"/>
      <c r="F562" s="8" t="s">
        <v>601</v>
      </c>
      <c r="G562" s="14">
        <v>9170.8794277040997</v>
      </c>
      <c r="H562" s="35">
        <v>45689</v>
      </c>
      <c r="I562" s="3">
        <v>127.16500000000001</v>
      </c>
      <c r="J562" s="3" t="s">
        <v>10</v>
      </c>
      <c r="K562" s="11" t="str">
        <f>("00622454614246")</f>
        <v>00622454614246</v>
      </c>
      <c r="L562" s="3">
        <v>1</v>
      </c>
      <c r="M562" s="3"/>
    </row>
    <row r="563" spans="1:13" x14ac:dyDescent="0.25">
      <c r="A563" s="3" t="s">
        <v>1371</v>
      </c>
      <c r="B563" s="10" t="s">
        <v>1351</v>
      </c>
      <c r="C563" s="3" t="str">
        <f>("295442")</f>
        <v>295442</v>
      </c>
      <c r="D563" s="11" t="str">
        <f>("622454614260")</f>
        <v>622454614260</v>
      </c>
      <c r="E563" s="3"/>
      <c r="F563" s="8" t="s">
        <v>602</v>
      </c>
      <c r="G563" s="14">
        <v>9410.0289542758601</v>
      </c>
      <c r="H563" s="35">
        <v>45689</v>
      </c>
      <c r="I563" s="3">
        <v>142.53800000000001</v>
      </c>
      <c r="J563" s="3" t="s">
        <v>10</v>
      </c>
      <c r="K563" s="11" t="str">
        <f>("00622454614260")</f>
        <v>00622454614260</v>
      </c>
      <c r="L563" s="3">
        <v>1</v>
      </c>
      <c r="M563" s="3"/>
    </row>
    <row r="564" spans="1:13" x14ac:dyDescent="0.25">
      <c r="A564" s="3" t="s">
        <v>1371</v>
      </c>
      <c r="B564" s="10" t="s">
        <v>1351</v>
      </c>
      <c r="C564" s="3" t="str">
        <f>("295444")</f>
        <v>295444</v>
      </c>
      <c r="D564" s="11" t="str">
        <f>("622454614284")</f>
        <v>622454614284</v>
      </c>
      <c r="E564" s="3"/>
      <c r="F564" s="8" t="s">
        <v>603</v>
      </c>
      <c r="G564" s="14">
        <v>9900.4066390653952</v>
      </c>
      <c r="H564" s="35">
        <v>45689</v>
      </c>
      <c r="I564" s="3">
        <v>31.076000000000001</v>
      </c>
      <c r="J564" s="3" t="s">
        <v>10</v>
      </c>
      <c r="K564" s="11" t="str">
        <f>("00622454614284")</f>
        <v>00622454614284</v>
      </c>
      <c r="L564" s="3">
        <v>1</v>
      </c>
      <c r="M564" s="3"/>
    </row>
    <row r="565" spans="1:13" x14ac:dyDescent="0.25">
      <c r="A565" s="3" t="s">
        <v>1371</v>
      </c>
      <c r="B565" s="10" t="s">
        <v>1351</v>
      </c>
      <c r="C565" s="3" t="str">
        <f>("295446")</f>
        <v>295446</v>
      </c>
      <c r="D565" s="11" t="str">
        <f>("622454614307")</f>
        <v>622454614307</v>
      </c>
      <c r="E565" s="3"/>
      <c r="F565" s="8" t="s">
        <v>604</v>
      </c>
      <c r="G565" s="14">
        <v>10481.017360265481</v>
      </c>
      <c r="H565" s="35">
        <v>45689</v>
      </c>
      <c r="I565" s="3">
        <v>46.529000000000003</v>
      </c>
      <c r="J565" s="3" t="s">
        <v>10</v>
      </c>
      <c r="K565" s="11" t="str">
        <f>("00622454614307")</f>
        <v>00622454614307</v>
      </c>
      <c r="L565" s="3">
        <v>1</v>
      </c>
      <c r="M565" s="3"/>
    </row>
    <row r="566" spans="1:13" x14ac:dyDescent="0.25">
      <c r="A566" s="3" t="s">
        <v>1371</v>
      </c>
      <c r="B566" s="10" t="s">
        <v>1351</v>
      </c>
      <c r="C566" s="3" t="str">
        <f>("295448")</f>
        <v>295448</v>
      </c>
      <c r="D566" s="11" t="str">
        <f>("622454614321")</f>
        <v>622454614321</v>
      </c>
      <c r="E566" s="3"/>
      <c r="F566" s="8" t="s">
        <v>605</v>
      </c>
      <c r="G566" s="14">
        <v>11137.33477981712</v>
      </c>
      <c r="H566" s="35">
        <v>45689</v>
      </c>
      <c r="I566" s="3">
        <v>210.495</v>
      </c>
      <c r="J566" s="3" t="s">
        <v>10</v>
      </c>
      <c r="K566" s="11" t="str">
        <f>("00622454614321")</f>
        <v>00622454614321</v>
      </c>
      <c r="L566" s="3">
        <v>1</v>
      </c>
      <c r="M566" s="3"/>
    </row>
    <row r="567" spans="1:13" x14ac:dyDescent="0.25">
      <c r="A567" s="3" t="s">
        <v>1371</v>
      </c>
      <c r="B567" s="10" t="s">
        <v>1351</v>
      </c>
      <c r="C567" s="3" t="str">
        <f>("295450")</f>
        <v>295450</v>
      </c>
      <c r="D567" s="11" t="str">
        <f>("622454614345")</f>
        <v>622454614345</v>
      </c>
      <c r="E567" s="3"/>
      <c r="F567" s="8" t="s">
        <v>606</v>
      </c>
      <c r="G567" s="14">
        <v>12116.564945400158</v>
      </c>
      <c r="H567" s="35">
        <v>45689</v>
      </c>
      <c r="I567" s="3">
        <v>247.49700000000001</v>
      </c>
      <c r="J567" s="3" t="s">
        <v>10</v>
      </c>
      <c r="K567" s="11" t="str">
        <f>("00622454614345")</f>
        <v>00622454614345</v>
      </c>
      <c r="L567" s="3">
        <v>1</v>
      </c>
      <c r="M567" s="3"/>
    </row>
    <row r="568" spans="1:13" x14ac:dyDescent="0.25">
      <c r="A568" s="3" t="s">
        <v>1371</v>
      </c>
      <c r="B568" s="10" t="s">
        <v>1351</v>
      </c>
      <c r="C568" s="3" t="str">
        <f>("295452")</f>
        <v>295452</v>
      </c>
      <c r="D568" s="11" t="str">
        <f>("622454614369")</f>
        <v>622454614369</v>
      </c>
      <c r="E568" s="3"/>
      <c r="F568" s="8" t="s">
        <v>607</v>
      </c>
      <c r="G568" s="14">
        <v>12237.105261215784</v>
      </c>
      <c r="H568" s="35">
        <v>45689</v>
      </c>
      <c r="I568" s="3">
        <v>295.73399999999998</v>
      </c>
      <c r="J568" s="3" t="s">
        <v>10</v>
      </c>
      <c r="K568" s="11" t="str">
        <f>("00622454614369")</f>
        <v>00622454614369</v>
      </c>
      <c r="L568" s="3">
        <v>1</v>
      </c>
      <c r="M568" s="3"/>
    </row>
    <row r="569" spans="1:13" x14ac:dyDescent="0.25">
      <c r="A569" s="3" t="s">
        <v>1371</v>
      </c>
      <c r="B569" s="10" t="s">
        <v>1351</v>
      </c>
      <c r="C569" s="3" t="str">
        <f>("295454")</f>
        <v>295454</v>
      </c>
      <c r="D569" s="11" t="str">
        <f>("622454614383")</f>
        <v>622454614383</v>
      </c>
      <c r="E569" s="3"/>
      <c r="F569" s="8" t="s">
        <v>608</v>
      </c>
      <c r="G569" s="14">
        <v>15726.7966042071</v>
      </c>
      <c r="H569" s="35">
        <v>45689</v>
      </c>
      <c r="I569" s="3">
        <v>339.02199999999999</v>
      </c>
      <c r="J569" s="3" t="s">
        <v>10</v>
      </c>
      <c r="K569" s="11" t="str">
        <f>("00622454614383")</f>
        <v>00622454614383</v>
      </c>
      <c r="L569" s="3">
        <v>1</v>
      </c>
      <c r="M569" s="3"/>
    </row>
    <row r="570" spans="1:13" x14ac:dyDescent="0.25">
      <c r="A570" s="3" t="s">
        <v>1371</v>
      </c>
      <c r="B570" s="10" t="s">
        <v>1351</v>
      </c>
      <c r="C570" s="3" t="str">
        <f>("755562")</f>
        <v>755562</v>
      </c>
      <c r="D570" s="11" t="str">
        <f>("662671192936")</f>
        <v>662671192936</v>
      </c>
      <c r="E570" s="3">
        <v>194153</v>
      </c>
      <c r="F570" s="8" t="s">
        <v>609</v>
      </c>
      <c r="G570" s="14">
        <v>251.92925360733562</v>
      </c>
      <c r="H570" s="35">
        <v>45689</v>
      </c>
      <c r="I570" s="3">
        <v>1.0049999999999999</v>
      </c>
      <c r="J570" s="3" t="s">
        <v>3</v>
      </c>
      <c r="K570" s="11" t="str">
        <f>("10662671192933")</f>
        <v>10662671192933</v>
      </c>
      <c r="L570" s="3">
        <v>10</v>
      </c>
      <c r="M570" s="3">
        <v>480</v>
      </c>
    </row>
    <row r="571" spans="1:13" x14ac:dyDescent="0.25">
      <c r="A571" s="3" t="s">
        <v>1371</v>
      </c>
      <c r="B571" s="10" t="s">
        <v>1351</v>
      </c>
      <c r="C571" s="3" t="str">
        <f>("755561")</f>
        <v>755561</v>
      </c>
      <c r="D571" s="11" t="str">
        <f>("662671192073")</f>
        <v>662671192073</v>
      </c>
      <c r="E571" s="3">
        <v>194149</v>
      </c>
      <c r="F571" s="8" t="s">
        <v>610</v>
      </c>
      <c r="G571" s="14">
        <v>310.11636848401389</v>
      </c>
      <c r="H571" s="35">
        <v>45689</v>
      </c>
      <c r="I571" s="3">
        <v>0.57099999999999995</v>
      </c>
      <c r="J571" s="3" t="s">
        <v>3</v>
      </c>
      <c r="K571" s="11" t="str">
        <f>("10662671192070")</f>
        <v>10662671192070</v>
      </c>
      <c r="L571" s="3">
        <v>20</v>
      </c>
      <c r="M571" s="3">
        <v>960</v>
      </c>
    </row>
    <row r="572" spans="1:13" x14ac:dyDescent="0.25">
      <c r="A572" s="3" t="s">
        <v>1371</v>
      </c>
      <c r="B572" s="10" t="s">
        <v>1351</v>
      </c>
      <c r="C572" s="3">
        <v>750413</v>
      </c>
      <c r="D572" s="11">
        <v>662671075260</v>
      </c>
      <c r="E572" s="3" t="s">
        <v>1338</v>
      </c>
      <c r="F572" s="8" t="s">
        <v>1339</v>
      </c>
      <c r="G572" s="14">
        <v>269.42566334204651</v>
      </c>
      <c r="H572" s="35">
        <v>45689</v>
      </c>
      <c r="I572" s="3">
        <v>0.112</v>
      </c>
      <c r="J572" s="3" t="s">
        <v>3</v>
      </c>
      <c r="K572" s="11">
        <v>10662671075267</v>
      </c>
      <c r="L572" s="3">
        <v>20</v>
      </c>
      <c r="M572" s="3">
        <v>640</v>
      </c>
    </row>
    <row r="573" spans="1:13" x14ac:dyDescent="0.25">
      <c r="A573" s="3" t="s">
        <v>1371</v>
      </c>
      <c r="B573" s="10" t="s">
        <v>1351</v>
      </c>
      <c r="C573" s="3" t="str">
        <f>("755563")</f>
        <v>755563</v>
      </c>
      <c r="D573" s="11" t="str">
        <f>("662671192912")</f>
        <v>662671192912</v>
      </c>
      <c r="E573" s="3">
        <v>194154</v>
      </c>
      <c r="F573" s="8" t="s">
        <v>611</v>
      </c>
      <c r="G573" s="14">
        <v>523.80125799461564</v>
      </c>
      <c r="H573" s="35">
        <v>45689</v>
      </c>
      <c r="I573" s="3">
        <v>2.4980000000000002</v>
      </c>
      <c r="J573" s="3" t="s">
        <v>3</v>
      </c>
      <c r="K573" s="11" t="str">
        <f>("10662671192919")</f>
        <v>10662671192919</v>
      </c>
      <c r="L573" s="3">
        <v>10</v>
      </c>
      <c r="M573" s="3">
        <v>180</v>
      </c>
    </row>
    <row r="574" spans="1:13" x14ac:dyDescent="0.25">
      <c r="A574" s="3" t="s">
        <v>1371</v>
      </c>
      <c r="B574" s="10" t="s">
        <v>1351</v>
      </c>
      <c r="C574" s="3" t="str">
        <f>("755564")</f>
        <v>755564</v>
      </c>
      <c r="D574" s="11" t="str">
        <f>("662671192837")</f>
        <v>662671192837</v>
      </c>
      <c r="E574" s="3">
        <v>194155</v>
      </c>
      <c r="F574" s="8" t="s">
        <v>612</v>
      </c>
      <c r="G574" s="14">
        <v>543.91984493132657</v>
      </c>
      <c r="H574" s="35">
        <v>45689</v>
      </c>
      <c r="I574" s="3">
        <v>2.601</v>
      </c>
      <c r="J574" s="3" t="s">
        <v>3</v>
      </c>
      <c r="K574" s="11" t="str">
        <f>("10662671192834")</f>
        <v>10662671192834</v>
      </c>
      <c r="L574" s="3">
        <v>10</v>
      </c>
      <c r="M574" s="3">
        <v>180</v>
      </c>
    </row>
    <row r="575" spans="1:13" x14ac:dyDescent="0.25">
      <c r="A575" s="3" t="s">
        <v>1371</v>
      </c>
      <c r="B575" s="10" t="s">
        <v>1351</v>
      </c>
      <c r="C575" s="3" t="str">
        <f>("755095")</f>
        <v>755095</v>
      </c>
      <c r="D575" s="11" t="str">
        <f>("662671190130")</f>
        <v>662671190130</v>
      </c>
      <c r="E575" s="3">
        <v>192263</v>
      </c>
      <c r="F575" s="8" t="s">
        <v>613</v>
      </c>
      <c r="G575" s="14">
        <v>400.20309280076481</v>
      </c>
      <c r="H575" s="35">
        <v>45689</v>
      </c>
      <c r="I575" s="3">
        <v>1.4950000000000001</v>
      </c>
      <c r="J575" s="3" t="s">
        <v>3</v>
      </c>
      <c r="K575" s="11" t="str">
        <f>("10662671190137")</f>
        <v>10662671190137</v>
      </c>
      <c r="L575" s="3">
        <v>10</v>
      </c>
      <c r="M575" s="3">
        <v>320</v>
      </c>
    </row>
    <row r="576" spans="1:13" x14ac:dyDescent="0.25">
      <c r="A576" s="3" t="s">
        <v>1371</v>
      </c>
      <c r="B576" s="10" t="s">
        <v>1351</v>
      </c>
      <c r="C576" s="3" t="str">
        <f>("755034")</f>
        <v>755034</v>
      </c>
      <c r="D576" s="11" t="str">
        <f>("662671191373")</f>
        <v>662671191373</v>
      </c>
      <c r="E576" s="3" t="s">
        <v>614</v>
      </c>
      <c r="F576" s="8" t="s">
        <v>615</v>
      </c>
      <c r="G576" s="14">
        <v>49.761632364945712</v>
      </c>
      <c r="H576" s="35">
        <v>45689</v>
      </c>
      <c r="I576" s="3">
        <v>0.30599999999999999</v>
      </c>
      <c r="J576" s="3" t="s">
        <v>3</v>
      </c>
      <c r="K576" s="11" t="str">
        <f>("10662671191370")</f>
        <v>10662671191370</v>
      </c>
      <c r="L576" s="3">
        <v>70</v>
      </c>
      <c r="M576" s="3">
        <v>2240</v>
      </c>
    </row>
    <row r="577" spans="1:13" x14ac:dyDescent="0.25">
      <c r="A577" s="3" t="s">
        <v>1371</v>
      </c>
      <c r="B577" s="10" t="s">
        <v>1351</v>
      </c>
      <c r="C577" s="3" t="str">
        <f>("755035")</f>
        <v>755035</v>
      </c>
      <c r="D577" s="11" t="str">
        <f>("662671190062")</f>
        <v>662671190062</v>
      </c>
      <c r="E577" s="3" t="s">
        <v>616</v>
      </c>
      <c r="F577" s="8" t="s">
        <v>617</v>
      </c>
      <c r="G577" s="14">
        <v>73.338330384732998</v>
      </c>
      <c r="H577" s="35">
        <v>45689</v>
      </c>
      <c r="I577" s="3">
        <v>0.47599999999999998</v>
      </c>
      <c r="J577" s="3" t="s">
        <v>3</v>
      </c>
      <c r="K577" s="11" t="str">
        <f>("10662671190069")</f>
        <v>10662671190069</v>
      </c>
      <c r="L577" s="3">
        <v>40</v>
      </c>
      <c r="M577" s="3">
        <v>1280</v>
      </c>
    </row>
    <row r="578" spans="1:13" x14ac:dyDescent="0.25">
      <c r="A578" s="3" t="s">
        <v>1371</v>
      </c>
      <c r="B578" s="10" t="s">
        <v>1351</v>
      </c>
      <c r="C578" s="3" t="str">
        <f>("755036")</f>
        <v>755036</v>
      </c>
      <c r="D578" s="11" t="str">
        <f>("662671191168")</f>
        <v>662671191168</v>
      </c>
      <c r="E578" s="3" t="s">
        <v>1352</v>
      </c>
      <c r="F578" s="8" t="s">
        <v>1369</v>
      </c>
      <c r="G578" s="14">
        <v>192.70177480312165</v>
      </c>
      <c r="H578" s="35">
        <v>45689</v>
      </c>
      <c r="I578" s="3">
        <v>1.4419999999999999</v>
      </c>
      <c r="J578" s="3" t="s">
        <v>3</v>
      </c>
      <c r="K578" s="11" t="str">
        <f>("10662671191165")</f>
        <v>10662671191165</v>
      </c>
      <c r="L578" s="3">
        <v>20</v>
      </c>
      <c r="M578" s="3">
        <v>360</v>
      </c>
    </row>
    <row r="579" spans="1:13" x14ac:dyDescent="0.25">
      <c r="A579" s="3" t="s">
        <v>1371</v>
      </c>
      <c r="B579" s="10" t="s">
        <v>1351</v>
      </c>
      <c r="C579" s="3" t="str">
        <f>("755037")</f>
        <v>755037</v>
      </c>
      <c r="D579" s="11" t="str">
        <f>("662671190079")</f>
        <v>662671190079</v>
      </c>
      <c r="E579" s="3" t="s">
        <v>618</v>
      </c>
      <c r="F579" s="8" t="s">
        <v>619</v>
      </c>
      <c r="G579" s="14">
        <v>351.89210872914356</v>
      </c>
      <c r="H579" s="35">
        <v>45689</v>
      </c>
      <c r="I579" s="3">
        <v>2.8109999999999999</v>
      </c>
      <c r="J579" s="3" t="s">
        <v>3</v>
      </c>
      <c r="K579" s="11" t="str">
        <f>("10662671190076")</f>
        <v>10662671190076</v>
      </c>
      <c r="L579" s="3">
        <v>12</v>
      </c>
      <c r="M579" s="3">
        <v>216</v>
      </c>
    </row>
    <row r="580" spans="1:13" x14ac:dyDescent="0.25">
      <c r="A580" s="3" t="s">
        <v>1371</v>
      </c>
      <c r="B580" s="10" t="s">
        <v>1351</v>
      </c>
      <c r="C580" s="3" t="str">
        <f>("755038")</f>
        <v>755038</v>
      </c>
      <c r="D580" s="11" t="str">
        <f>("662671190086")</f>
        <v>662671190086</v>
      </c>
      <c r="E580" s="3">
        <v>192156</v>
      </c>
      <c r="F580" s="8" t="s">
        <v>620</v>
      </c>
      <c r="G580" s="14">
        <v>1412.9607437240829</v>
      </c>
      <c r="H580" s="35">
        <v>45689</v>
      </c>
      <c r="I580" s="3">
        <v>5.9770000000000003</v>
      </c>
      <c r="J580" s="3" t="s">
        <v>3</v>
      </c>
      <c r="K580" s="11" t="str">
        <f>("10662671190083")</f>
        <v>10662671190083</v>
      </c>
      <c r="L580" s="3">
        <v>3</v>
      </c>
      <c r="M580" s="3">
        <v>72</v>
      </c>
    </row>
    <row r="581" spans="1:13" x14ac:dyDescent="0.25">
      <c r="A581" s="3" t="s">
        <v>1371</v>
      </c>
      <c r="B581" s="10" t="s">
        <v>1351</v>
      </c>
      <c r="C581" s="3" t="str">
        <f>("226119")</f>
        <v>226119</v>
      </c>
      <c r="D581" s="11" t="str">
        <f>("622454875579")</f>
        <v>622454875579</v>
      </c>
      <c r="E581" s="3">
        <v>192158</v>
      </c>
      <c r="F581" s="8" t="s">
        <v>621</v>
      </c>
      <c r="G581" s="14">
        <v>3130.7188121899912</v>
      </c>
      <c r="H581" s="35">
        <v>45689</v>
      </c>
      <c r="I581" s="3">
        <v>18.518999999999998</v>
      </c>
      <c r="J581" s="3" t="s">
        <v>3</v>
      </c>
      <c r="K581" s="11" t="str">
        <f>("10622454875576")</f>
        <v>10622454875576</v>
      </c>
      <c r="L581" s="3">
        <v>2</v>
      </c>
      <c r="M581" s="3"/>
    </row>
    <row r="582" spans="1:13" x14ac:dyDescent="0.25">
      <c r="A582" s="3" t="s">
        <v>1371</v>
      </c>
      <c r="B582" s="10" t="s">
        <v>1351</v>
      </c>
      <c r="C582" s="3" t="str">
        <f>("294201")</f>
        <v>294201</v>
      </c>
      <c r="D582" s="11" t="str">
        <f>("622454600935")</f>
        <v>622454600935</v>
      </c>
      <c r="E582" s="3"/>
      <c r="F582" s="8" t="s">
        <v>622</v>
      </c>
      <c r="G582" s="14">
        <v>2453.8687291360702</v>
      </c>
      <c r="H582" s="35">
        <v>45689</v>
      </c>
      <c r="I582" s="3">
        <v>50.031999999999996</v>
      </c>
      <c r="J582" s="3" t="s">
        <v>10</v>
      </c>
      <c r="K582" s="11" t="str">
        <f>("10622454600932")</f>
        <v>10622454600932</v>
      </c>
      <c r="L582" s="3">
        <v>4</v>
      </c>
      <c r="M582" s="3"/>
    </row>
    <row r="583" spans="1:13" x14ac:dyDescent="0.25">
      <c r="A583" s="3" t="s">
        <v>1371</v>
      </c>
      <c r="B583" s="10" t="s">
        <v>1351</v>
      </c>
      <c r="C583" s="3" t="str">
        <f>("294203")</f>
        <v>294203</v>
      </c>
      <c r="D583" s="11" t="str">
        <f>("622454600959")</f>
        <v>622454600959</v>
      </c>
      <c r="E583" s="3"/>
      <c r="F583" s="8" t="s">
        <v>623</v>
      </c>
      <c r="G583" s="14">
        <v>3513.7502060255397</v>
      </c>
      <c r="H583" s="35">
        <v>45689</v>
      </c>
      <c r="I583" s="3">
        <v>76.561999999999998</v>
      </c>
      <c r="J583" s="3" t="s">
        <v>10</v>
      </c>
      <c r="K583" s="11" t="str">
        <f>("10622454600956")</f>
        <v>10622454600956</v>
      </c>
      <c r="L583" s="3">
        <v>2</v>
      </c>
      <c r="M583" s="3"/>
    </row>
    <row r="584" spans="1:13" x14ac:dyDescent="0.25">
      <c r="A584" s="3" t="s">
        <v>1371</v>
      </c>
      <c r="B584" s="10" t="s">
        <v>1351</v>
      </c>
      <c r="C584" s="3" t="str">
        <f>("294205")</f>
        <v>294205</v>
      </c>
      <c r="D584" s="11" t="str">
        <f>("622454600973")</f>
        <v>622454600973</v>
      </c>
      <c r="E584" s="3"/>
      <c r="F584" s="8" t="s">
        <v>624</v>
      </c>
      <c r="G584" s="14">
        <v>6188.3553134909216</v>
      </c>
      <c r="H584" s="35">
        <v>45689</v>
      </c>
      <c r="I584" s="3">
        <v>104.497</v>
      </c>
      <c r="J584" s="3" t="s">
        <v>10</v>
      </c>
      <c r="K584" s="11" t="str">
        <f>("00622454600973")</f>
        <v>00622454600973</v>
      </c>
      <c r="L584" s="3">
        <v>1</v>
      </c>
      <c r="M584" s="3"/>
    </row>
    <row r="585" spans="1:13" x14ac:dyDescent="0.25">
      <c r="A585" s="3" t="s">
        <v>1371</v>
      </c>
      <c r="B585" s="10" t="s">
        <v>1351</v>
      </c>
      <c r="C585" s="3" t="str">
        <f>("294207")</f>
        <v>294207</v>
      </c>
      <c r="D585" s="11" t="str">
        <f>("622454600997")</f>
        <v>622454600997</v>
      </c>
      <c r="E585" s="3"/>
      <c r="F585" s="8" t="s">
        <v>625</v>
      </c>
      <c r="G585" s="14">
        <v>7961.4418589776697</v>
      </c>
      <c r="H585" s="35">
        <v>45689</v>
      </c>
      <c r="I585" s="3">
        <v>168.48400000000001</v>
      </c>
      <c r="J585" s="3" t="s">
        <v>10</v>
      </c>
      <c r="K585" s="11" t="str">
        <f>("10622454600994")</f>
        <v>10622454600994</v>
      </c>
      <c r="L585" s="3">
        <v>2</v>
      </c>
      <c r="M585" s="3">
        <v>2</v>
      </c>
    </row>
    <row r="586" spans="1:13" x14ac:dyDescent="0.25">
      <c r="A586" s="3" t="s">
        <v>1371</v>
      </c>
      <c r="B586" s="10" t="s">
        <v>1351</v>
      </c>
      <c r="C586" s="3" t="str">
        <f>("294209")</f>
        <v>294209</v>
      </c>
      <c r="D586" s="11" t="str">
        <f>("622454601017")</f>
        <v>622454601017</v>
      </c>
      <c r="E586" s="3"/>
      <c r="F586" s="8" t="s">
        <v>626</v>
      </c>
      <c r="G586" s="14">
        <v>8153.4453620268478</v>
      </c>
      <c r="H586" s="35">
        <v>45689</v>
      </c>
      <c r="I586" s="3">
        <v>400.21800000000002</v>
      </c>
      <c r="J586" s="3" t="s">
        <v>10</v>
      </c>
      <c r="K586" s="11" t="str">
        <f>("00622454601017")</f>
        <v>00622454601017</v>
      </c>
      <c r="L586" s="3">
        <v>1</v>
      </c>
      <c r="M586" s="3"/>
    </row>
    <row r="587" spans="1:13" x14ac:dyDescent="0.25">
      <c r="A587" s="3" t="s">
        <v>1371</v>
      </c>
      <c r="B587" s="10" t="s">
        <v>1351</v>
      </c>
      <c r="C587" s="3" t="str">
        <f>("294211")</f>
        <v>294211</v>
      </c>
      <c r="D587" s="11" t="str">
        <f>("622454601031")</f>
        <v>622454601031</v>
      </c>
      <c r="E587" s="3"/>
      <c r="F587" s="8" t="s">
        <v>627</v>
      </c>
      <c r="G587" s="14">
        <v>11014.137657040661</v>
      </c>
      <c r="H587" s="35">
        <v>45689</v>
      </c>
      <c r="I587" s="3">
        <v>241.97499999999999</v>
      </c>
      <c r="J587" s="3" t="s">
        <v>10</v>
      </c>
      <c r="K587" s="11" t="str">
        <f>("00622454601031")</f>
        <v>00622454601031</v>
      </c>
      <c r="L587" s="3">
        <v>1</v>
      </c>
      <c r="M587" s="3"/>
    </row>
    <row r="588" spans="1:13" x14ac:dyDescent="0.25">
      <c r="A588" s="3" t="s">
        <v>1371</v>
      </c>
      <c r="B588" s="10" t="s">
        <v>1351</v>
      </c>
      <c r="C588" s="3" t="str">
        <f>("294213")</f>
        <v>294213</v>
      </c>
      <c r="D588" s="11" t="str">
        <f>("622454601055")</f>
        <v>622454601055</v>
      </c>
      <c r="E588" s="3"/>
      <c r="F588" s="8" t="s">
        <v>628</v>
      </c>
      <c r="G588" s="14">
        <v>14410.803856306104</v>
      </c>
      <c r="H588" s="35">
        <v>45689</v>
      </c>
      <c r="I588" s="3">
        <v>652.06899999999996</v>
      </c>
      <c r="J588" s="3" t="s">
        <v>10</v>
      </c>
      <c r="K588" s="11" t="str">
        <f>("00622454601055")</f>
        <v>00622454601055</v>
      </c>
      <c r="L588" s="3">
        <v>1</v>
      </c>
      <c r="M588" s="3"/>
    </row>
    <row r="589" spans="1:13" x14ac:dyDescent="0.25">
      <c r="A589" s="3" t="s">
        <v>1371</v>
      </c>
      <c r="B589" s="10" t="s">
        <v>1351</v>
      </c>
      <c r="C589" s="3" t="str">
        <f>("755022")</f>
        <v>755022</v>
      </c>
      <c r="D589" s="11" t="str">
        <f>("662671191410")</f>
        <v>662671191410</v>
      </c>
      <c r="E589" s="3" t="s">
        <v>629</v>
      </c>
      <c r="F589" s="8" t="s">
        <v>630</v>
      </c>
      <c r="G589" s="14">
        <v>64.517216520275625</v>
      </c>
      <c r="H589" s="35">
        <v>45689</v>
      </c>
      <c r="I589" s="3">
        <v>0.38800000000000001</v>
      </c>
      <c r="J589" s="3" t="s">
        <v>3</v>
      </c>
      <c r="K589" s="11" t="str">
        <f>("10662671191417")</f>
        <v>10662671191417</v>
      </c>
      <c r="L589" s="3">
        <v>50</v>
      </c>
      <c r="M589" s="3">
        <v>1600</v>
      </c>
    </row>
    <row r="590" spans="1:13" x14ac:dyDescent="0.25">
      <c r="A590" s="3" t="s">
        <v>1371</v>
      </c>
      <c r="B590" s="10" t="s">
        <v>1351</v>
      </c>
      <c r="C590" s="3" t="str">
        <f>("755021")</f>
        <v>755021</v>
      </c>
      <c r="D590" s="11" t="str">
        <f>("662671191212")</f>
        <v>662671191212</v>
      </c>
      <c r="E590" s="3" t="s">
        <v>631</v>
      </c>
      <c r="F590" s="8" t="s">
        <v>632</v>
      </c>
      <c r="G590" s="14">
        <v>77.734234303897821</v>
      </c>
      <c r="H590" s="35">
        <v>45689</v>
      </c>
      <c r="I590" s="3">
        <v>0.432</v>
      </c>
      <c r="J590" s="3" t="s">
        <v>3</v>
      </c>
      <c r="K590" s="11" t="str">
        <f>("10662671191219")</f>
        <v>10662671191219</v>
      </c>
      <c r="L590" s="3">
        <v>25</v>
      </c>
      <c r="M590" s="3">
        <v>1200</v>
      </c>
    </row>
    <row r="591" spans="1:13" x14ac:dyDescent="0.25">
      <c r="A591" s="3" t="s">
        <v>1371</v>
      </c>
      <c r="B591" s="10" t="s">
        <v>1351</v>
      </c>
      <c r="C591" s="3" t="str">
        <f>("755020")</f>
        <v>755020</v>
      </c>
      <c r="D591" s="11" t="str">
        <f>("662671191199")</f>
        <v>662671191199</v>
      </c>
      <c r="E591" s="3" t="s">
        <v>633</v>
      </c>
      <c r="F591" s="8" t="s">
        <v>634</v>
      </c>
      <c r="G591" s="14">
        <v>64.795623768489378</v>
      </c>
      <c r="H591" s="35">
        <v>45689</v>
      </c>
      <c r="I591" s="3">
        <v>0.38400000000000001</v>
      </c>
      <c r="J591" s="3" t="s">
        <v>3</v>
      </c>
      <c r="K591" s="11" t="str">
        <f>("10662671191196")</f>
        <v>10662671191196</v>
      </c>
      <c r="L591" s="3">
        <v>30</v>
      </c>
      <c r="M591" s="3">
        <v>1440</v>
      </c>
    </row>
    <row r="592" spans="1:13" x14ac:dyDescent="0.25">
      <c r="A592" s="3" t="s">
        <v>1371</v>
      </c>
      <c r="B592" s="10" t="s">
        <v>1351</v>
      </c>
      <c r="C592" s="3" t="str">
        <f>("755024")</f>
        <v>755024</v>
      </c>
      <c r="D592" s="11" t="str">
        <f>("662671192615")</f>
        <v>662671192615</v>
      </c>
      <c r="E592" s="3">
        <v>192131</v>
      </c>
      <c r="F592" s="8" t="s">
        <v>635</v>
      </c>
      <c r="G592" s="14">
        <v>139.98023379927167</v>
      </c>
      <c r="H592" s="35">
        <v>45689</v>
      </c>
      <c r="I592" s="3">
        <v>0.89100000000000001</v>
      </c>
      <c r="J592" s="3" t="s">
        <v>3</v>
      </c>
      <c r="K592" s="11" t="str">
        <f>("10662671192612")</f>
        <v>10662671192612</v>
      </c>
      <c r="L592" s="3">
        <v>25</v>
      </c>
      <c r="M592" s="3">
        <v>800</v>
      </c>
    </row>
    <row r="593" spans="1:13" x14ac:dyDescent="0.25">
      <c r="A593" s="3" t="s">
        <v>1371</v>
      </c>
      <c r="B593" s="10" t="s">
        <v>1351</v>
      </c>
      <c r="C593" s="3" t="str">
        <f>("755023")</f>
        <v>755023</v>
      </c>
      <c r="D593" s="11" t="str">
        <f>("662671190048")</f>
        <v>662671190048</v>
      </c>
      <c r="E593" s="3" t="s">
        <v>636</v>
      </c>
      <c r="F593" s="8" t="s">
        <v>637</v>
      </c>
      <c r="G593" s="14">
        <v>145.2553185022694</v>
      </c>
      <c r="H593" s="35">
        <v>45689</v>
      </c>
      <c r="I593" s="3">
        <v>1.06</v>
      </c>
      <c r="J593" s="3" t="s">
        <v>3</v>
      </c>
      <c r="K593" s="11" t="str">
        <f>("10662671190045")</f>
        <v>10662671190045</v>
      </c>
      <c r="L593" s="3">
        <v>20</v>
      </c>
      <c r="M593" s="3">
        <v>640</v>
      </c>
    </row>
    <row r="594" spans="1:13" x14ac:dyDescent="0.25">
      <c r="A594" s="3" t="s">
        <v>1371</v>
      </c>
      <c r="B594" s="10" t="s">
        <v>1351</v>
      </c>
      <c r="C594" s="3" t="str">
        <f>("755025")</f>
        <v>755025</v>
      </c>
      <c r="D594" s="11" t="str">
        <f>("662671191564")</f>
        <v>662671191564</v>
      </c>
      <c r="E594" s="3">
        <v>192134</v>
      </c>
      <c r="F594" s="8" t="s">
        <v>638</v>
      </c>
      <c r="G594" s="14">
        <v>302.81916797820037</v>
      </c>
      <c r="H594" s="35">
        <v>45689</v>
      </c>
      <c r="I594" s="3">
        <v>1.4039999999999999</v>
      </c>
      <c r="J594" s="3" t="s">
        <v>3</v>
      </c>
      <c r="K594" s="11" t="str">
        <f>("10662671191561")</f>
        <v>10662671191561</v>
      </c>
      <c r="L594" s="3">
        <v>20</v>
      </c>
      <c r="M594" s="3">
        <v>360</v>
      </c>
    </row>
    <row r="595" spans="1:13" x14ac:dyDescent="0.25">
      <c r="A595" s="3" t="s">
        <v>1371</v>
      </c>
      <c r="B595" s="10" t="s">
        <v>1351</v>
      </c>
      <c r="C595" s="3" t="str">
        <f>("755026")</f>
        <v>755026</v>
      </c>
      <c r="D595" s="11" t="str">
        <f>("662671191540")</f>
        <v>662671191540</v>
      </c>
      <c r="E595" s="3">
        <v>192136</v>
      </c>
      <c r="F595" s="8" t="s">
        <v>639</v>
      </c>
      <c r="G595" s="14">
        <v>411.48591285995457</v>
      </c>
      <c r="H595" s="35">
        <v>45689</v>
      </c>
      <c r="I595" s="3">
        <v>1.887</v>
      </c>
      <c r="J595" s="3" t="s">
        <v>3</v>
      </c>
      <c r="K595" s="11" t="str">
        <f>("10662671191547")</f>
        <v>10662671191547</v>
      </c>
      <c r="L595" s="3">
        <v>15</v>
      </c>
      <c r="M595" s="3">
        <v>270</v>
      </c>
    </row>
    <row r="596" spans="1:13" x14ac:dyDescent="0.25">
      <c r="A596" s="3" t="s">
        <v>1371</v>
      </c>
      <c r="B596" s="10" t="s">
        <v>1351</v>
      </c>
      <c r="C596" s="3" t="str">
        <f>("755027")</f>
        <v>755027</v>
      </c>
      <c r="D596" s="11" t="str">
        <f>("662671190055")</f>
        <v>662671190055</v>
      </c>
      <c r="E596" s="3">
        <v>192144</v>
      </c>
      <c r="F596" s="8" t="s">
        <v>640</v>
      </c>
      <c r="G596" s="14">
        <v>1366.4667332723834</v>
      </c>
      <c r="H596" s="35">
        <v>45689</v>
      </c>
      <c r="I596" s="3">
        <v>4.1909999999999998</v>
      </c>
      <c r="J596" s="3" t="s">
        <v>3</v>
      </c>
      <c r="K596" s="11" t="str">
        <f>("10662671190052")</f>
        <v>10662671190052</v>
      </c>
      <c r="L596" s="3">
        <v>5</v>
      </c>
      <c r="M596" s="3">
        <v>90</v>
      </c>
    </row>
    <row r="597" spans="1:13" x14ac:dyDescent="0.25">
      <c r="A597" s="3" t="s">
        <v>1371</v>
      </c>
      <c r="B597" s="10" t="s">
        <v>1351</v>
      </c>
      <c r="C597" s="3" t="str">
        <f>("294217")</f>
        <v>294217</v>
      </c>
      <c r="D597" s="11" t="str">
        <f>("622454601093")</f>
        <v>622454601093</v>
      </c>
      <c r="E597" s="3"/>
      <c r="F597" s="8" t="s">
        <v>641</v>
      </c>
      <c r="G597" s="14">
        <v>880.41170667867152</v>
      </c>
      <c r="H597" s="35">
        <v>45689</v>
      </c>
      <c r="I597" s="3">
        <v>12.178000000000001</v>
      </c>
      <c r="J597" s="3" t="s">
        <v>10</v>
      </c>
      <c r="K597" s="11" t="str">
        <f>("10622454601090")</f>
        <v>10622454601090</v>
      </c>
      <c r="L597" s="3">
        <v>2</v>
      </c>
      <c r="M597" s="3">
        <v>16</v>
      </c>
    </row>
    <row r="598" spans="1:13" x14ac:dyDescent="0.25">
      <c r="A598" s="3" t="s">
        <v>1371</v>
      </c>
      <c r="B598" s="10" t="s">
        <v>1351</v>
      </c>
      <c r="C598" s="3" t="str">
        <f>("294219")</f>
        <v>294219</v>
      </c>
      <c r="D598" s="11" t="str">
        <f>("622454601116")</f>
        <v>622454601116</v>
      </c>
      <c r="E598" s="3"/>
      <c r="F598" s="8" t="s">
        <v>642</v>
      </c>
      <c r="G598" s="14">
        <v>1054.6908632900618</v>
      </c>
      <c r="H598" s="35">
        <v>45689</v>
      </c>
      <c r="I598" s="3">
        <v>19.841999999999999</v>
      </c>
      <c r="J598" s="3" t="s">
        <v>10</v>
      </c>
      <c r="K598" s="11" t="str">
        <f>("10622454601113")</f>
        <v>10622454601113</v>
      </c>
      <c r="L598" s="3">
        <v>10</v>
      </c>
      <c r="M598" s="3"/>
    </row>
    <row r="599" spans="1:13" x14ac:dyDescent="0.25">
      <c r="A599" s="3" t="s">
        <v>1371</v>
      </c>
      <c r="B599" s="10" t="s">
        <v>1351</v>
      </c>
      <c r="C599" s="3" t="str">
        <f>("294221")</f>
        <v>294221</v>
      </c>
      <c r="D599" s="11" t="str">
        <f>("622454601130")</f>
        <v>622454601130</v>
      </c>
      <c r="E599" s="3"/>
      <c r="F599" s="8" t="s">
        <v>643</v>
      </c>
      <c r="G599" s="14">
        <v>1173.9519757541764</v>
      </c>
      <c r="H599" s="35">
        <v>45689</v>
      </c>
      <c r="I599" s="3">
        <v>18.484000000000002</v>
      </c>
      <c r="J599" s="3" t="s">
        <v>10</v>
      </c>
      <c r="K599" s="11" t="str">
        <f>("10622454601137")</f>
        <v>10622454601137</v>
      </c>
      <c r="L599" s="3">
        <v>10</v>
      </c>
      <c r="M599" s="3"/>
    </row>
    <row r="600" spans="1:13" x14ac:dyDescent="0.25">
      <c r="A600" s="3" t="s">
        <v>1371</v>
      </c>
      <c r="B600" s="10" t="s">
        <v>1351</v>
      </c>
      <c r="C600" s="3" t="str">
        <f>("294223")</f>
        <v>294223</v>
      </c>
      <c r="D600" s="11" t="str">
        <f>("622454601178")</f>
        <v>622454601178</v>
      </c>
      <c r="E600" s="3"/>
      <c r="F600" s="8" t="s">
        <v>644</v>
      </c>
      <c r="G600" s="14">
        <v>1510.8498584266288</v>
      </c>
      <c r="H600" s="35">
        <v>45689</v>
      </c>
      <c r="I600" s="3">
        <v>24.888000000000002</v>
      </c>
      <c r="J600" s="3" t="s">
        <v>10</v>
      </c>
      <c r="K600" s="11" t="str">
        <f>("10622454601175")</f>
        <v>10622454601175</v>
      </c>
      <c r="L600" s="3">
        <v>8</v>
      </c>
      <c r="M600" s="3"/>
    </row>
    <row r="601" spans="1:13" x14ac:dyDescent="0.25">
      <c r="A601" s="3" t="s">
        <v>1371</v>
      </c>
      <c r="B601" s="10" t="s">
        <v>1351</v>
      </c>
      <c r="C601" s="3" t="str">
        <f>("294225")</f>
        <v>294225</v>
      </c>
      <c r="D601" s="11" t="str">
        <f>("622454601222")</f>
        <v>622454601222</v>
      </c>
      <c r="E601" s="3"/>
      <c r="F601" s="8" t="s">
        <v>645</v>
      </c>
      <c r="G601" s="14">
        <v>1849.9740469320029</v>
      </c>
      <c r="H601" s="35">
        <v>45689</v>
      </c>
      <c r="I601" s="3">
        <v>31.645</v>
      </c>
      <c r="J601" s="3" t="s">
        <v>10</v>
      </c>
      <c r="K601" s="11" t="str">
        <f>("30622454601223")</f>
        <v>30622454601223</v>
      </c>
      <c r="L601" s="3">
        <v>8</v>
      </c>
      <c r="M601" s="3"/>
    </row>
    <row r="602" spans="1:13" x14ac:dyDescent="0.25">
      <c r="A602" s="3" t="s">
        <v>1371</v>
      </c>
      <c r="B602" s="10" t="s">
        <v>1351</v>
      </c>
      <c r="C602" s="3" t="str">
        <f>("294227")</f>
        <v>294227</v>
      </c>
      <c r="D602" s="11" t="str">
        <f>("622454601260")</f>
        <v>622454601260</v>
      </c>
      <c r="E602" s="3"/>
      <c r="F602" s="8" t="s">
        <v>646</v>
      </c>
      <c r="G602" s="14">
        <v>1882.1509312354399</v>
      </c>
      <c r="H602" s="35">
        <v>45689</v>
      </c>
      <c r="I602" s="3">
        <v>25.858000000000001</v>
      </c>
      <c r="J602" s="3" t="s">
        <v>10</v>
      </c>
      <c r="K602" s="11" t="str">
        <f>("10622454601267")</f>
        <v>10622454601267</v>
      </c>
      <c r="L602" s="3">
        <v>8</v>
      </c>
      <c r="M602" s="3"/>
    </row>
    <row r="603" spans="1:13" x14ac:dyDescent="0.25">
      <c r="A603" s="3" t="s">
        <v>1371</v>
      </c>
      <c r="B603" s="10" t="s">
        <v>1351</v>
      </c>
      <c r="C603" s="3" t="str">
        <f>("294229")</f>
        <v>294229</v>
      </c>
      <c r="D603" s="11" t="str">
        <f>("622454601284")</f>
        <v>622454601284</v>
      </c>
      <c r="E603" s="3"/>
      <c r="F603" s="8" t="s">
        <v>647</v>
      </c>
      <c r="G603" s="14">
        <v>2052.1865767288309</v>
      </c>
      <c r="H603" s="35">
        <v>45689</v>
      </c>
      <c r="I603" s="3">
        <v>33.192999999999998</v>
      </c>
      <c r="J603" s="3" t="s">
        <v>10</v>
      </c>
      <c r="K603" s="11" t="str">
        <f>("10622454601281")</f>
        <v>10622454601281</v>
      </c>
      <c r="L603" s="3">
        <v>6</v>
      </c>
      <c r="M603" s="3"/>
    </row>
    <row r="604" spans="1:13" x14ac:dyDescent="0.25">
      <c r="A604" s="3" t="s">
        <v>1371</v>
      </c>
      <c r="B604" s="10" t="s">
        <v>1351</v>
      </c>
      <c r="C604" s="3" t="str">
        <f>("294231")</f>
        <v>294231</v>
      </c>
      <c r="D604" s="11" t="str">
        <f>("622454601307")</f>
        <v>622454601307</v>
      </c>
      <c r="E604" s="3"/>
      <c r="F604" s="8" t="s">
        <v>648</v>
      </c>
      <c r="G604" s="14">
        <v>2284.8539863174437</v>
      </c>
      <c r="H604" s="35">
        <v>45689</v>
      </c>
      <c r="I604" s="3">
        <v>41.438000000000002</v>
      </c>
      <c r="J604" s="3" t="s">
        <v>10</v>
      </c>
      <c r="K604" s="11" t="str">
        <f>("10622454601304")</f>
        <v>10622454601304</v>
      </c>
      <c r="L604" s="3">
        <v>6</v>
      </c>
      <c r="M604" s="3"/>
    </row>
    <row r="605" spans="1:13" x14ac:dyDescent="0.25">
      <c r="A605" s="3" t="s">
        <v>1371</v>
      </c>
      <c r="B605" s="10" t="s">
        <v>1351</v>
      </c>
      <c r="C605" s="3" t="str">
        <f>("294233")</f>
        <v>294233</v>
      </c>
      <c r="D605" s="11" t="str">
        <f>("622454601321")</f>
        <v>622454601321</v>
      </c>
      <c r="E605" s="3"/>
      <c r="F605" s="8" t="s">
        <v>649</v>
      </c>
      <c r="G605" s="14">
        <v>2878.0845405814962</v>
      </c>
      <c r="H605" s="35">
        <v>45689</v>
      </c>
      <c r="I605" s="3">
        <v>64.611000000000004</v>
      </c>
      <c r="J605" s="3" t="s">
        <v>10</v>
      </c>
      <c r="K605" s="11" t="str">
        <f>("10622454601328")</f>
        <v>10622454601328</v>
      </c>
      <c r="L605" s="3">
        <v>4</v>
      </c>
      <c r="M605" s="3"/>
    </row>
    <row r="606" spans="1:13" x14ac:dyDescent="0.25">
      <c r="A606" s="3" t="s">
        <v>1371</v>
      </c>
      <c r="B606" s="10" t="s">
        <v>1351</v>
      </c>
      <c r="C606" s="3" t="str">
        <f>("294235")</f>
        <v>294235</v>
      </c>
      <c r="D606" s="11" t="str">
        <f>("622454601345")</f>
        <v>622454601345</v>
      </c>
      <c r="E606" s="3"/>
      <c r="F606" s="8" t="s">
        <v>650</v>
      </c>
      <c r="G606" s="14">
        <v>2686.4869385957791</v>
      </c>
      <c r="H606" s="35">
        <v>45689</v>
      </c>
      <c r="I606" s="3">
        <v>33.42</v>
      </c>
      <c r="J606" s="3" t="s">
        <v>10</v>
      </c>
      <c r="K606" s="11" t="str">
        <f>("00622454601345")</f>
        <v>00622454601345</v>
      </c>
      <c r="L606" s="3">
        <v>1</v>
      </c>
      <c r="M606" s="3"/>
    </row>
    <row r="607" spans="1:13" x14ac:dyDescent="0.25">
      <c r="A607" s="3" t="s">
        <v>1371</v>
      </c>
      <c r="B607" s="10" t="s">
        <v>1351</v>
      </c>
      <c r="C607" s="3" t="str">
        <f>("294237")</f>
        <v>294237</v>
      </c>
      <c r="D607" s="11" t="str">
        <f>("622454601369")</f>
        <v>622454601369</v>
      </c>
      <c r="E607" s="3"/>
      <c r="F607" s="8" t="s">
        <v>651</v>
      </c>
      <c r="G607" s="14">
        <v>3203.9615943793774</v>
      </c>
      <c r="H607" s="35">
        <v>45689</v>
      </c>
      <c r="I607" s="3">
        <v>37.981000000000002</v>
      </c>
      <c r="J607" s="3" t="s">
        <v>10</v>
      </c>
      <c r="K607" s="11" t="str">
        <f>("00622454601369")</f>
        <v>00622454601369</v>
      </c>
      <c r="L607" s="3">
        <v>1</v>
      </c>
      <c r="M607" s="3"/>
    </row>
    <row r="608" spans="1:13" x14ac:dyDescent="0.25">
      <c r="A608" s="3" t="s">
        <v>1371</v>
      </c>
      <c r="B608" s="10" t="s">
        <v>1351</v>
      </c>
      <c r="C608" s="3" t="str">
        <f>("294239")</f>
        <v>294239</v>
      </c>
      <c r="D608" s="11" t="str">
        <f>("622454601383")</f>
        <v>622454601383</v>
      </c>
      <c r="E608" s="3"/>
      <c r="F608" s="8" t="s">
        <v>652</v>
      </c>
      <c r="G608" s="14">
        <v>3654.3518744019111</v>
      </c>
      <c r="H608" s="35">
        <v>45689</v>
      </c>
      <c r="I608" s="3">
        <v>47.582000000000001</v>
      </c>
      <c r="J608" s="3" t="s">
        <v>10</v>
      </c>
      <c r="K608" s="11" t="str">
        <f>("00622454601383")</f>
        <v>00622454601383</v>
      </c>
      <c r="L608" s="3">
        <v>1</v>
      </c>
      <c r="M608" s="3"/>
    </row>
    <row r="609" spans="1:13" x14ac:dyDescent="0.25">
      <c r="A609" s="3" t="s">
        <v>1371</v>
      </c>
      <c r="B609" s="10" t="s">
        <v>1351</v>
      </c>
      <c r="C609" s="3" t="str">
        <f>("294241")</f>
        <v>294241</v>
      </c>
      <c r="D609" s="11" t="str">
        <f>("622454601406")</f>
        <v>622454601406</v>
      </c>
      <c r="E609" s="3"/>
      <c r="F609" s="8" t="s">
        <v>653</v>
      </c>
      <c r="G609" s="14">
        <v>4389.5986007483334</v>
      </c>
      <c r="H609" s="35">
        <v>45689</v>
      </c>
      <c r="I609" s="3">
        <v>70.930999999999997</v>
      </c>
      <c r="J609" s="3" t="s">
        <v>10</v>
      </c>
      <c r="K609" s="11" t="str">
        <f>("00622454601406")</f>
        <v>00622454601406</v>
      </c>
      <c r="L609" s="3">
        <v>1</v>
      </c>
      <c r="M609" s="3"/>
    </row>
    <row r="610" spans="1:13" x14ac:dyDescent="0.25">
      <c r="A610" s="3" t="s">
        <v>1371</v>
      </c>
      <c r="B610" s="10" t="s">
        <v>1351</v>
      </c>
      <c r="C610" s="3" t="str">
        <f>("294243")</f>
        <v>294243</v>
      </c>
      <c r="D610" s="11" t="str">
        <f>("622454601420")</f>
        <v>622454601420</v>
      </c>
      <c r="E610" s="3"/>
      <c r="F610" s="8" t="s">
        <v>654</v>
      </c>
      <c r="G610" s="14">
        <v>5174.9310583193737</v>
      </c>
      <c r="H610" s="35">
        <v>45689</v>
      </c>
      <c r="I610" s="3">
        <v>90.957999999999998</v>
      </c>
      <c r="J610" s="3" t="s">
        <v>10</v>
      </c>
      <c r="K610" s="11" t="str">
        <f>("00622454601420")</f>
        <v>00622454601420</v>
      </c>
      <c r="L610" s="3">
        <v>1</v>
      </c>
      <c r="M610" s="3"/>
    </row>
    <row r="611" spans="1:13" x14ac:dyDescent="0.25">
      <c r="A611" s="3" t="s">
        <v>1371</v>
      </c>
      <c r="B611" s="10" t="s">
        <v>1351</v>
      </c>
      <c r="C611" s="3" t="str">
        <f>("294245")</f>
        <v>294245</v>
      </c>
      <c r="D611" s="11" t="str">
        <f>("622454601444")</f>
        <v>622454601444</v>
      </c>
      <c r="E611" s="3"/>
      <c r="F611" s="8" t="s">
        <v>655</v>
      </c>
      <c r="G611" s="14">
        <v>3683.9949520667742</v>
      </c>
      <c r="H611" s="35">
        <v>45689</v>
      </c>
      <c r="I611" s="3">
        <v>48.353999999999999</v>
      </c>
      <c r="J611" s="3" t="s">
        <v>10</v>
      </c>
      <c r="K611" s="11" t="str">
        <f>("10622454601441")</f>
        <v>10622454601441</v>
      </c>
      <c r="L611" s="3">
        <v>5</v>
      </c>
      <c r="M611" s="3"/>
    </row>
    <row r="612" spans="1:13" x14ac:dyDescent="0.25">
      <c r="A612" s="3" t="s">
        <v>1371</v>
      </c>
      <c r="B612" s="10" t="s">
        <v>1351</v>
      </c>
      <c r="C612" s="3" t="str">
        <f>("294247")</f>
        <v>294247</v>
      </c>
      <c r="D612" s="11" t="str">
        <f>("622454601468")</f>
        <v>622454601468</v>
      </c>
      <c r="E612" s="3"/>
      <c r="F612" s="8" t="s">
        <v>656</v>
      </c>
      <c r="G612" s="14">
        <v>3916.0104599474043</v>
      </c>
      <c r="H612" s="35">
        <v>45689</v>
      </c>
      <c r="I612" s="3">
        <v>50.371000000000002</v>
      </c>
      <c r="J612" s="3" t="s">
        <v>10</v>
      </c>
      <c r="K612" s="11" t="str">
        <f>("00622454601468")</f>
        <v>00622454601468</v>
      </c>
      <c r="L612" s="3">
        <v>1</v>
      </c>
      <c r="M612" s="3"/>
    </row>
    <row r="613" spans="1:13" x14ac:dyDescent="0.25">
      <c r="A613" s="3" t="s">
        <v>1371</v>
      </c>
      <c r="B613" s="10" t="s">
        <v>1351</v>
      </c>
      <c r="C613" s="3" t="str">
        <f>("294249")</f>
        <v>294249</v>
      </c>
      <c r="D613" s="11" t="str">
        <f>("622454601482")</f>
        <v>622454601482</v>
      </c>
      <c r="E613" s="3"/>
      <c r="F613" s="8" t="s">
        <v>657</v>
      </c>
      <c r="G613" s="14">
        <v>4318.6643149005049</v>
      </c>
      <c r="H613" s="35">
        <v>45689</v>
      </c>
      <c r="I613" s="3">
        <v>65.543000000000006</v>
      </c>
      <c r="J613" s="3" t="s">
        <v>10</v>
      </c>
      <c r="K613" s="11" t="str">
        <f>("10622454601489")</f>
        <v>10622454601489</v>
      </c>
      <c r="L613" s="3">
        <v>4</v>
      </c>
      <c r="M613" s="3">
        <v>4</v>
      </c>
    </row>
    <row r="614" spans="1:13" x14ac:dyDescent="0.25">
      <c r="A614" s="3" t="s">
        <v>1371</v>
      </c>
      <c r="B614" s="10" t="s">
        <v>1351</v>
      </c>
      <c r="C614" s="3" t="str">
        <f>("294251")</f>
        <v>294251</v>
      </c>
      <c r="D614" s="11" t="str">
        <f>("622454601505")</f>
        <v>622454601505</v>
      </c>
      <c r="E614" s="3"/>
      <c r="F614" s="8" t="s">
        <v>658</v>
      </c>
      <c r="G614" s="14">
        <v>4880.1484859890334</v>
      </c>
      <c r="H614" s="35">
        <v>45689</v>
      </c>
      <c r="I614" s="3">
        <v>74.058000000000007</v>
      </c>
      <c r="J614" s="3" t="s">
        <v>10</v>
      </c>
      <c r="K614" s="11" t="str">
        <f>("00622454601505")</f>
        <v>00622454601505</v>
      </c>
      <c r="L614" s="3">
        <v>1</v>
      </c>
      <c r="M614" s="3"/>
    </row>
    <row r="615" spans="1:13" x14ac:dyDescent="0.25">
      <c r="A615" s="3" t="s">
        <v>1371</v>
      </c>
      <c r="B615" s="10" t="s">
        <v>1351</v>
      </c>
      <c r="C615" s="3" t="str">
        <f>("294253")</f>
        <v>294253</v>
      </c>
      <c r="D615" s="11" t="str">
        <f>("622454601529")</f>
        <v>622454601529</v>
      </c>
      <c r="E615" s="3"/>
      <c r="F615" s="8" t="s">
        <v>659</v>
      </c>
      <c r="G615" s="14">
        <v>5239.6415278608029</v>
      </c>
      <c r="H615" s="35">
        <v>45689</v>
      </c>
      <c r="I615" s="3">
        <v>105.36499999999999</v>
      </c>
      <c r="J615" s="3" t="s">
        <v>10</v>
      </c>
      <c r="K615" s="11" t="str">
        <f>("00622454601529")</f>
        <v>00622454601529</v>
      </c>
      <c r="L615" s="3">
        <v>1</v>
      </c>
      <c r="M615" s="3"/>
    </row>
    <row r="616" spans="1:13" x14ac:dyDescent="0.25">
      <c r="A616" s="3" t="s">
        <v>1371</v>
      </c>
      <c r="B616" s="10" t="s">
        <v>1351</v>
      </c>
      <c r="C616" s="3" t="str">
        <f>("294255")</f>
        <v>294255</v>
      </c>
      <c r="D616" s="11" t="str">
        <f>("622454601543")</f>
        <v>622454601543</v>
      </c>
      <c r="E616" s="3"/>
      <c r="F616" s="8" t="s">
        <v>660</v>
      </c>
      <c r="G616" s="14">
        <v>6279.8798532852143</v>
      </c>
      <c r="H616" s="35">
        <v>45689</v>
      </c>
      <c r="I616" s="3">
        <v>123.307</v>
      </c>
      <c r="J616" s="3" t="s">
        <v>10</v>
      </c>
      <c r="K616" s="11" t="str">
        <f>("00622454601543")</f>
        <v>00622454601543</v>
      </c>
      <c r="L616" s="3">
        <v>1</v>
      </c>
      <c r="M616" s="3"/>
    </row>
    <row r="617" spans="1:13" x14ac:dyDescent="0.25">
      <c r="A617" s="3" t="s">
        <v>1371</v>
      </c>
      <c r="B617" s="10" t="s">
        <v>1351</v>
      </c>
      <c r="C617" s="3" t="str">
        <f>("294259")</f>
        <v>294259</v>
      </c>
      <c r="D617" s="11" t="str">
        <f>("622454601581")</f>
        <v>622454601581</v>
      </c>
      <c r="E617" s="3"/>
      <c r="F617" s="8" t="s">
        <v>661</v>
      </c>
      <c r="G617" s="14">
        <v>4651.9399999999996</v>
      </c>
      <c r="H617" s="35">
        <v>45689</v>
      </c>
      <c r="I617" s="3">
        <v>67.227999999999994</v>
      </c>
      <c r="J617" s="3" t="s">
        <v>10</v>
      </c>
      <c r="K617" s="11" t="str">
        <f>("10622454601588")</f>
        <v>10622454601588</v>
      </c>
      <c r="L617" s="3">
        <v>3</v>
      </c>
      <c r="M617" s="3">
        <v>3</v>
      </c>
    </row>
    <row r="618" spans="1:13" x14ac:dyDescent="0.25">
      <c r="A618" s="3" t="s">
        <v>1371</v>
      </c>
      <c r="B618" s="10" t="s">
        <v>1351</v>
      </c>
      <c r="C618" s="3">
        <v>294263</v>
      </c>
      <c r="D618" s="11" t="str">
        <f>("622454601604")</f>
        <v>622454601604</v>
      </c>
      <c r="E618" s="3"/>
      <c r="F618" s="8" t="s">
        <v>662</v>
      </c>
      <c r="G618" s="14">
        <v>6640.44</v>
      </c>
      <c r="H618" s="35">
        <v>45689</v>
      </c>
      <c r="I618" s="3">
        <v>79.117000000000004</v>
      </c>
      <c r="J618" s="3" t="s">
        <v>10</v>
      </c>
      <c r="K618" s="11" t="str">
        <f>("00622454601604")</f>
        <v>00622454601604</v>
      </c>
      <c r="L618" s="3">
        <v>1</v>
      </c>
      <c r="M618" s="3"/>
    </row>
    <row r="619" spans="1:13" x14ac:dyDescent="0.25">
      <c r="A619" s="3" t="s">
        <v>1371</v>
      </c>
      <c r="B619" s="10" t="s">
        <v>1351</v>
      </c>
      <c r="C619" s="3" t="str">
        <f>("294263")</f>
        <v>294263</v>
      </c>
      <c r="D619" s="11" t="str">
        <f>("622454601628")</f>
        <v>622454601628</v>
      </c>
      <c r="E619" s="3"/>
      <c r="F619" s="8" t="s">
        <v>663</v>
      </c>
      <c r="G619" s="14">
        <v>5845.947016381182</v>
      </c>
      <c r="H619" s="35">
        <v>45689</v>
      </c>
      <c r="I619" s="3">
        <v>110.80200000000001</v>
      </c>
      <c r="J619" s="3" t="s">
        <v>10</v>
      </c>
      <c r="K619" s="11" t="str">
        <f>("00622454601628")</f>
        <v>00622454601628</v>
      </c>
      <c r="L619" s="3">
        <v>1</v>
      </c>
      <c r="M619" s="3"/>
    </row>
    <row r="620" spans="1:13" x14ac:dyDescent="0.25">
      <c r="A620" s="3" t="s">
        <v>1371</v>
      </c>
      <c r="B620" s="10" t="s">
        <v>1351</v>
      </c>
      <c r="C620" s="3" t="str">
        <f>("294265")</f>
        <v>294265</v>
      </c>
      <c r="D620" s="11" t="str">
        <f>("622454601642")</f>
        <v>622454601642</v>
      </c>
      <c r="E620" s="3"/>
      <c r="F620" s="8" t="s">
        <v>664</v>
      </c>
      <c r="G620" s="14">
        <v>6821.43</v>
      </c>
      <c r="H620" s="35">
        <v>45689</v>
      </c>
      <c r="I620" s="3">
        <v>120.67</v>
      </c>
      <c r="J620" s="3" t="s">
        <v>10</v>
      </c>
      <c r="K620" s="11" t="str">
        <f>("00622454601642")</f>
        <v>00622454601642</v>
      </c>
      <c r="L620" s="3">
        <v>1</v>
      </c>
      <c r="M620" s="3"/>
    </row>
    <row r="621" spans="1:13" x14ac:dyDescent="0.25">
      <c r="A621" s="3" t="s">
        <v>1371</v>
      </c>
      <c r="B621" s="10" t="s">
        <v>1351</v>
      </c>
      <c r="C621" s="3" t="str">
        <f>("294267")</f>
        <v>294267</v>
      </c>
      <c r="D621" s="11" t="str">
        <f>("622454601666")</f>
        <v>622454601666</v>
      </c>
      <c r="E621" s="3"/>
      <c r="F621" s="8" t="s">
        <v>665</v>
      </c>
      <c r="G621" s="14">
        <v>7776.42</v>
      </c>
      <c r="H621" s="35">
        <v>45689</v>
      </c>
      <c r="I621" s="3">
        <v>2E-3</v>
      </c>
      <c r="J621" s="3" t="s">
        <v>10</v>
      </c>
      <c r="K621" s="11" t="str">
        <f>("00622454601666")</f>
        <v>00622454601666</v>
      </c>
      <c r="L621" s="3">
        <v>1</v>
      </c>
      <c r="M621" s="3"/>
    </row>
    <row r="622" spans="1:13" x14ac:dyDescent="0.25">
      <c r="A622" s="3" t="s">
        <v>1371</v>
      </c>
      <c r="B622" s="10" t="s">
        <v>1351</v>
      </c>
      <c r="C622" s="3" t="str">
        <f>("294269")</f>
        <v>294269</v>
      </c>
      <c r="D622" s="11" t="str">
        <f>("622454601680")</f>
        <v>622454601680</v>
      </c>
      <c r="E622" s="3"/>
      <c r="F622" s="8" t="s">
        <v>666</v>
      </c>
      <c r="G622" s="14">
        <v>8395.14</v>
      </c>
      <c r="H622" s="35">
        <v>45689</v>
      </c>
      <c r="I622" s="3">
        <v>205.614</v>
      </c>
      <c r="J622" s="3" t="s">
        <v>10</v>
      </c>
      <c r="K622" s="11" t="str">
        <f>("00622454601680")</f>
        <v>00622454601680</v>
      </c>
      <c r="L622" s="3">
        <v>1</v>
      </c>
      <c r="M622" s="3"/>
    </row>
    <row r="623" spans="1:13" x14ac:dyDescent="0.25">
      <c r="A623" s="3" t="s">
        <v>1371</v>
      </c>
      <c r="B623" s="10" t="s">
        <v>1351</v>
      </c>
      <c r="C623" s="3" t="str">
        <f>("294271")</f>
        <v>294271</v>
      </c>
      <c r="D623" s="11" t="str">
        <f>("622454601703")</f>
        <v>622454601703</v>
      </c>
      <c r="E623" s="3"/>
      <c r="F623" s="8" t="s">
        <v>667</v>
      </c>
      <c r="G623" s="14">
        <v>8409.7042334250928</v>
      </c>
      <c r="H623" s="35">
        <v>45689</v>
      </c>
      <c r="I623" s="3">
        <v>71.483000000000004</v>
      </c>
      <c r="J623" s="3" t="s">
        <v>10</v>
      </c>
      <c r="K623" s="11" t="str">
        <f>("00622454601703")</f>
        <v>00622454601703</v>
      </c>
      <c r="L623" s="3">
        <v>1</v>
      </c>
      <c r="M623" s="3"/>
    </row>
    <row r="624" spans="1:13" x14ac:dyDescent="0.25">
      <c r="A624" s="3" t="s">
        <v>1371</v>
      </c>
      <c r="B624" s="10" t="s">
        <v>1351</v>
      </c>
      <c r="C624" s="3">
        <v>294275</v>
      </c>
      <c r="D624" s="11" t="str">
        <f>("622454601727")</f>
        <v>622454601727</v>
      </c>
      <c r="E624" s="3"/>
      <c r="F624" s="8" t="s">
        <v>668</v>
      </c>
      <c r="G624" s="14">
        <v>5667.41</v>
      </c>
      <c r="H624" s="35">
        <v>45689</v>
      </c>
      <c r="I624" s="3">
        <v>81.738</v>
      </c>
      <c r="J624" s="3" t="s">
        <v>10</v>
      </c>
      <c r="K624" s="11" t="str">
        <f>("00622454601727")</f>
        <v>00622454601727</v>
      </c>
      <c r="L624" s="3">
        <v>1</v>
      </c>
      <c r="M624" s="3"/>
    </row>
    <row r="625" spans="1:13" x14ac:dyDescent="0.25">
      <c r="A625" s="3" t="s">
        <v>1371</v>
      </c>
      <c r="B625" s="10" t="s">
        <v>1351</v>
      </c>
      <c r="C625" s="3" t="str">
        <f>("294275")</f>
        <v>294275</v>
      </c>
      <c r="D625" s="11" t="str">
        <f>("622454601741")</f>
        <v>622454601741</v>
      </c>
      <c r="E625" s="3"/>
      <c r="F625" s="8" t="s">
        <v>669</v>
      </c>
      <c r="G625" s="14">
        <v>5263.1591894770754</v>
      </c>
      <c r="H625" s="35">
        <v>45689</v>
      </c>
      <c r="I625" s="3">
        <v>94.435000000000002</v>
      </c>
      <c r="J625" s="3" t="s">
        <v>10</v>
      </c>
      <c r="K625" s="11" t="str">
        <f>("00622454601741")</f>
        <v>00622454601741</v>
      </c>
      <c r="L625" s="3">
        <v>1</v>
      </c>
      <c r="M625" s="3"/>
    </row>
    <row r="626" spans="1:13" x14ac:dyDescent="0.25">
      <c r="A626" s="3" t="s">
        <v>1371</v>
      </c>
      <c r="B626" s="10" t="s">
        <v>1351</v>
      </c>
      <c r="C626" s="3" t="str">
        <f>("294277")</f>
        <v>294277</v>
      </c>
      <c r="D626" s="11" t="str">
        <f>("622454601765")</f>
        <v>622454601765</v>
      </c>
      <c r="E626" s="3"/>
      <c r="F626" s="8" t="s">
        <v>670</v>
      </c>
      <c r="G626" s="14">
        <v>6394.15</v>
      </c>
      <c r="H626" s="35">
        <v>45689</v>
      </c>
      <c r="I626" s="3">
        <v>115.136</v>
      </c>
      <c r="J626" s="3" t="s">
        <v>10</v>
      </c>
      <c r="K626" s="11" t="str">
        <f>("00622454601765")</f>
        <v>00622454601765</v>
      </c>
      <c r="L626" s="3">
        <v>1</v>
      </c>
      <c r="M626" s="3"/>
    </row>
    <row r="627" spans="1:13" x14ac:dyDescent="0.25">
      <c r="A627" s="3" t="s">
        <v>1371</v>
      </c>
      <c r="B627" s="10" t="s">
        <v>1351</v>
      </c>
      <c r="C627" s="3" t="str">
        <f>("294279")</f>
        <v>294279</v>
      </c>
      <c r="D627" s="11" t="str">
        <f>("622454601789")</f>
        <v>622454601789</v>
      </c>
      <c r="E627" s="3"/>
      <c r="F627" s="8" t="s">
        <v>671</v>
      </c>
      <c r="G627" s="14">
        <v>7159.47</v>
      </c>
      <c r="H627" s="35">
        <v>45689</v>
      </c>
      <c r="I627" s="3">
        <v>158.14599999999999</v>
      </c>
      <c r="J627" s="3" t="s">
        <v>10</v>
      </c>
      <c r="K627" s="11" t="str">
        <f>("00622454601789")</f>
        <v>00622454601789</v>
      </c>
      <c r="L627" s="3">
        <v>1</v>
      </c>
      <c r="M627" s="3"/>
    </row>
    <row r="628" spans="1:13" x14ac:dyDescent="0.25">
      <c r="A628" s="3" t="s">
        <v>1371</v>
      </c>
      <c r="B628" s="10" t="s">
        <v>1351</v>
      </c>
      <c r="C628" s="3" t="str">
        <f>("294281")</f>
        <v>294281</v>
      </c>
      <c r="D628" s="11" t="str">
        <f>("622454601802")</f>
        <v>622454601802</v>
      </c>
      <c r="E628" s="3"/>
      <c r="F628" s="8" t="s">
        <v>672</v>
      </c>
      <c r="G628" s="14">
        <v>8514.2900000000009</v>
      </c>
      <c r="H628" s="35">
        <v>45689</v>
      </c>
      <c r="I628" s="3">
        <v>2E-3</v>
      </c>
      <c r="J628" s="3" t="s">
        <v>10</v>
      </c>
      <c r="K628" s="11" t="str">
        <f>("00622454601802")</f>
        <v>00622454601802</v>
      </c>
      <c r="L628" s="3">
        <v>1</v>
      </c>
      <c r="M628" s="3"/>
    </row>
    <row r="629" spans="1:13" x14ac:dyDescent="0.25">
      <c r="A629" s="3" t="s">
        <v>1371</v>
      </c>
      <c r="B629" s="10" t="s">
        <v>1351</v>
      </c>
      <c r="C629" s="3">
        <v>294289</v>
      </c>
      <c r="D629" s="11" t="str">
        <f>("622454601826")</f>
        <v>622454601826</v>
      </c>
      <c r="E629" s="3"/>
      <c r="F629" s="8" t="s">
        <v>673</v>
      </c>
      <c r="G629" s="14">
        <v>10578.53</v>
      </c>
      <c r="H629" s="35">
        <v>45689</v>
      </c>
      <c r="I629" s="3">
        <v>197.95699999999999</v>
      </c>
      <c r="J629" s="3" t="s">
        <v>10</v>
      </c>
      <c r="K629" s="11" t="str">
        <f>("00622454601826")</f>
        <v>00622454601826</v>
      </c>
      <c r="L629" s="3">
        <v>1</v>
      </c>
      <c r="M629" s="3"/>
    </row>
    <row r="630" spans="1:13" x14ac:dyDescent="0.25">
      <c r="A630" s="3" t="s">
        <v>1371</v>
      </c>
      <c r="B630" s="10" t="s">
        <v>1351</v>
      </c>
      <c r="C630" s="3" t="str">
        <f>("294285")</f>
        <v>294285</v>
      </c>
      <c r="D630" s="11" t="str">
        <f>("622454601840")</f>
        <v>622454601840</v>
      </c>
      <c r="E630" s="3"/>
      <c r="F630" s="8" t="s">
        <v>674</v>
      </c>
      <c r="G630" s="14">
        <v>9834.0110651089908</v>
      </c>
      <c r="H630" s="35">
        <v>45689</v>
      </c>
      <c r="I630" s="3">
        <v>2E-3</v>
      </c>
      <c r="J630" s="3" t="s">
        <v>10</v>
      </c>
      <c r="K630" s="11" t="str">
        <f>("00622454601840")</f>
        <v>00622454601840</v>
      </c>
      <c r="L630" s="3">
        <v>1</v>
      </c>
      <c r="M630" s="3"/>
    </row>
    <row r="631" spans="1:13" x14ac:dyDescent="0.25">
      <c r="A631" s="3" t="s">
        <v>1371</v>
      </c>
      <c r="B631" s="10" t="s">
        <v>1351</v>
      </c>
      <c r="C631" s="3" t="str">
        <f>("294287")</f>
        <v>294287</v>
      </c>
      <c r="D631" s="11" t="str">
        <f>("622454601864")</f>
        <v>622454601864</v>
      </c>
      <c r="E631" s="3"/>
      <c r="F631" s="8" t="s">
        <v>675</v>
      </c>
      <c r="G631" s="14">
        <v>10596.871363802971</v>
      </c>
      <c r="H631" s="35">
        <v>45689</v>
      </c>
      <c r="I631" s="3">
        <v>112.22199999999999</v>
      </c>
      <c r="J631" s="3" t="s">
        <v>10</v>
      </c>
      <c r="K631" s="11" t="str">
        <f>("00622454601864")</f>
        <v>00622454601864</v>
      </c>
      <c r="L631" s="3">
        <v>1</v>
      </c>
      <c r="M631" s="3"/>
    </row>
    <row r="632" spans="1:13" x14ac:dyDescent="0.25">
      <c r="A632" s="3" t="s">
        <v>1371</v>
      </c>
      <c r="B632" s="10" t="s">
        <v>1351</v>
      </c>
      <c r="C632" s="3" t="str">
        <f>("294289")</f>
        <v>294289</v>
      </c>
      <c r="D632" s="11" t="str">
        <f>("622454601888")</f>
        <v>622454601888</v>
      </c>
      <c r="E632" s="3"/>
      <c r="F632" s="8" t="s">
        <v>676</v>
      </c>
      <c r="G632" s="14">
        <v>7464.87</v>
      </c>
      <c r="H632" s="35">
        <v>45689</v>
      </c>
      <c r="I632" s="3">
        <v>124.753</v>
      </c>
      <c r="J632" s="3" t="s">
        <v>10</v>
      </c>
      <c r="K632" s="11" t="str">
        <f>("00622454601888")</f>
        <v>00622454601888</v>
      </c>
      <c r="L632" s="3">
        <v>1</v>
      </c>
      <c r="M632" s="3"/>
    </row>
    <row r="633" spans="1:13" x14ac:dyDescent="0.25">
      <c r="A633" s="3" t="s">
        <v>1371</v>
      </c>
      <c r="B633" s="10" t="s">
        <v>1351</v>
      </c>
      <c r="C633" s="3" t="str">
        <f>("294291")</f>
        <v>294291</v>
      </c>
      <c r="D633" s="11" t="str">
        <f>("622454601901")</f>
        <v>622454601901</v>
      </c>
      <c r="E633" s="3"/>
      <c r="F633" s="8" t="s">
        <v>677</v>
      </c>
      <c r="G633" s="14">
        <v>9907.09</v>
      </c>
      <c r="H633" s="35">
        <v>45689</v>
      </c>
      <c r="I633" s="3">
        <v>146.654</v>
      </c>
      <c r="J633" s="3" t="s">
        <v>10</v>
      </c>
      <c r="K633" s="11" t="str">
        <f>("00622454601901")</f>
        <v>00622454601901</v>
      </c>
      <c r="L633" s="3">
        <v>1</v>
      </c>
      <c r="M633" s="3"/>
    </row>
    <row r="634" spans="1:13" x14ac:dyDescent="0.25">
      <c r="A634" s="3" t="s">
        <v>1371</v>
      </c>
      <c r="B634" s="10" t="s">
        <v>1351</v>
      </c>
      <c r="C634" s="3" t="str">
        <f>("294293")</f>
        <v>294293</v>
      </c>
      <c r="D634" s="11" t="str">
        <f>("622454601925")</f>
        <v>622454601925</v>
      </c>
      <c r="E634" s="3"/>
      <c r="F634" s="8" t="s">
        <v>678</v>
      </c>
      <c r="G634" s="14">
        <v>10711.85</v>
      </c>
      <c r="H634" s="35">
        <v>45689</v>
      </c>
      <c r="I634" s="3">
        <v>156.55199999999999</v>
      </c>
      <c r="J634" s="3" t="s">
        <v>10</v>
      </c>
      <c r="K634" s="11" t="str">
        <f>("00622454601925")</f>
        <v>00622454601925</v>
      </c>
      <c r="L634" s="3">
        <v>1</v>
      </c>
      <c r="M634" s="3"/>
    </row>
    <row r="635" spans="1:13" x14ac:dyDescent="0.25">
      <c r="A635" s="3" t="s">
        <v>1371</v>
      </c>
      <c r="B635" s="10" t="s">
        <v>1351</v>
      </c>
      <c r="C635" s="3" t="str">
        <f>("294295")</f>
        <v>294295</v>
      </c>
      <c r="D635" s="11" t="str">
        <f>("622454601949")</f>
        <v>622454601949</v>
      </c>
      <c r="E635" s="3"/>
      <c r="F635" s="8" t="s">
        <v>679</v>
      </c>
      <c r="G635" s="14">
        <v>11193.03</v>
      </c>
      <c r="H635" s="35">
        <v>45689</v>
      </c>
      <c r="I635" s="3">
        <v>203.64500000000001</v>
      </c>
      <c r="J635" s="3" t="s">
        <v>10</v>
      </c>
      <c r="K635" s="11" t="str">
        <f>("00622454601949")</f>
        <v>00622454601949</v>
      </c>
      <c r="L635" s="3">
        <v>1</v>
      </c>
      <c r="M635" s="3"/>
    </row>
    <row r="636" spans="1:13" x14ac:dyDescent="0.25">
      <c r="A636" s="3" t="s">
        <v>1371</v>
      </c>
      <c r="B636" s="10" t="s">
        <v>1351</v>
      </c>
      <c r="C636" s="3" t="str">
        <f>("294297")</f>
        <v>294297</v>
      </c>
      <c r="D636" s="11" t="str">
        <f>("622454601963")</f>
        <v>622454601963</v>
      </c>
      <c r="E636" s="3"/>
      <c r="F636" s="8" t="s">
        <v>680</v>
      </c>
      <c r="G636" s="14">
        <v>11418.93</v>
      </c>
      <c r="H636" s="35">
        <v>45689</v>
      </c>
      <c r="I636" s="3">
        <v>2E-3</v>
      </c>
      <c r="J636" s="3" t="s">
        <v>10</v>
      </c>
      <c r="K636" s="11" t="str">
        <f>("00622454601963")</f>
        <v>00622454601963</v>
      </c>
      <c r="L636" s="3">
        <v>1</v>
      </c>
      <c r="M636" s="3"/>
    </row>
    <row r="637" spans="1:13" x14ac:dyDescent="0.25">
      <c r="A637" s="3" t="s">
        <v>1371</v>
      </c>
      <c r="B637" s="10" t="s">
        <v>1351</v>
      </c>
      <c r="C637" s="3" t="str">
        <f>("294299")</f>
        <v>294299</v>
      </c>
      <c r="D637" s="11" t="str">
        <f>("622454601987")</f>
        <v>622454601987</v>
      </c>
      <c r="E637" s="3"/>
      <c r="F637" s="8" t="s">
        <v>681</v>
      </c>
      <c r="G637" s="14">
        <v>13095.66</v>
      </c>
      <c r="H637" s="35">
        <v>45689</v>
      </c>
      <c r="I637" s="3">
        <v>225.398</v>
      </c>
      <c r="J637" s="3" t="s">
        <v>10</v>
      </c>
      <c r="K637" s="11" t="str">
        <f>("00622454601987")</f>
        <v>00622454601987</v>
      </c>
      <c r="L637" s="3">
        <v>1</v>
      </c>
      <c r="M637" s="3"/>
    </row>
    <row r="638" spans="1:13" x14ac:dyDescent="0.25">
      <c r="A638" s="3" t="s">
        <v>1371</v>
      </c>
      <c r="B638" s="10" t="s">
        <v>1351</v>
      </c>
      <c r="C638" s="3" t="str">
        <f>("294301")</f>
        <v>294301</v>
      </c>
      <c r="D638" s="11" t="str">
        <f>("622454602007")</f>
        <v>622454602007</v>
      </c>
      <c r="E638" s="3"/>
      <c r="F638" s="8" t="s">
        <v>682</v>
      </c>
      <c r="G638" s="14">
        <v>13727.94</v>
      </c>
      <c r="H638" s="35">
        <v>45689</v>
      </c>
      <c r="I638" s="3">
        <v>2E-3</v>
      </c>
      <c r="J638" s="3" t="s">
        <v>10</v>
      </c>
      <c r="K638" s="11" t="str">
        <f>("00622454602007")</f>
        <v>00622454602007</v>
      </c>
      <c r="L638" s="3">
        <v>1</v>
      </c>
      <c r="M638" s="3"/>
    </row>
    <row r="639" spans="1:13" x14ac:dyDescent="0.25">
      <c r="A639" s="3" t="s">
        <v>1371</v>
      </c>
      <c r="B639" s="10" t="s">
        <v>1351</v>
      </c>
      <c r="C639" s="3" t="str">
        <f>("294303")</f>
        <v>294303</v>
      </c>
      <c r="D639" s="11" t="str">
        <f>("622454602021")</f>
        <v>622454602021</v>
      </c>
      <c r="E639" s="3"/>
      <c r="F639" s="8" t="s">
        <v>683</v>
      </c>
      <c r="G639" s="14">
        <v>14223.73</v>
      </c>
      <c r="H639" s="35">
        <v>45689</v>
      </c>
      <c r="I639" s="3">
        <v>340.31599999999997</v>
      </c>
      <c r="J639" s="3" t="s">
        <v>10</v>
      </c>
      <c r="K639" s="11" t="str">
        <f>("00622454602021")</f>
        <v>00622454602021</v>
      </c>
      <c r="L639" s="3">
        <v>1</v>
      </c>
      <c r="M639" s="3"/>
    </row>
    <row r="640" spans="1:13" x14ac:dyDescent="0.25">
      <c r="A640" s="3" t="s">
        <v>1371</v>
      </c>
      <c r="B640" s="10" t="s">
        <v>1351</v>
      </c>
      <c r="C640" s="3" t="str">
        <f>("755605")</f>
        <v>755605</v>
      </c>
      <c r="D640" s="11" t="str">
        <f>("662671191380")</f>
        <v>662671191380</v>
      </c>
      <c r="E640" s="3" t="s">
        <v>684</v>
      </c>
      <c r="F640" s="8" t="s">
        <v>685</v>
      </c>
      <c r="G640" s="14">
        <v>149.07975491194279</v>
      </c>
      <c r="H640" s="35">
        <v>45689</v>
      </c>
      <c r="I640" s="3">
        <v>0.28899999999999998</v>
      </c>
      <c r="J640" s="3" t="s">
        <v>3</v>
      </c>
      <c r="K640" s="11" t="str">
        <f>("10662671191387")</f>
        <v>10662671191387</v>
      </c>
      <c r="L640" s="3">
        <v>50</v>
      </c>
      <c r="M640" s="3">
        <v>2400</v>
      </c>
    </row>
    <row r="641" spans="1:13" x14ac:dyDescent="0.25">
      <c r="A641" s="3" t="s">
        <v>1371</v>
      </c>
      <c r="B641" s="10" t="s">
        <v>1351</v>
      </c>
      <c r="C641" s="3" t="str">
        <f>("755606")</f>
        <v>755606</v>
      </c>
      <c r="D641" s="11" t="str">
        <f>("662671192530")</f>
        <v>662671192530</v>
      </c>
      <c r="E641" s="3" t="s">
        <v>686</v>
      </c>
      <c r="F641" s="8" t="s">
        <v>687</v>
      </c>
      <c r="G641" s="14">
        <v>144.58127990133082</v>
      </c>
      <c r="H641" s="35">
        <v>45689</v>
      </c>
      <c r="I641" s="3">
        <v>0.46700000000000003</v>
      </c>
      <c r="J641" s="3" t="s">
        <v>3</v>
      </c>
      <c r="K641" s="11" t="str">
        <f>("10662671192537")</f>
        <v>10662671192537</v>
      </c>
      <c r="L641" s="3">
        <v>40</v>
      </c>
      <c r="M641" s="3">
        <v>1280</v>
      </c>
    </row>
    <row r="642" spans="1:13" x14ac:dyDescent="0.25">
      <c r="A642" s="3" t="s">
        <v>1371</v>
      </c>
      <c r="B642" s="10" t="s">
        <v>1351</v>
      </c>
      <c r="C642" s="3" t="str">
        <f>("755607")</f>
        <v>755607</v>
      </c>
      <c r="D642" s="11" t="str">
        <f>("662671191175")</f>
        <v>662671191175</v>
      </c>
      <c r="E642" s="3" t="s">
        <v>1353</v>
      </c>
      <c r="F642" s="8" t="s">
        <v>688</v>
      </c>
      <c r="G642" s="14">
        <v>241.02741188780689</v>
      </c>
      <c r="H642" s="35">
        <v>45689</v>
      </c>
      <c r="I642" s="3">
        <v>1.389</v>
      </c>
      <c r="J642" s="3" t="s">
        <v>3</v>
      </c>
      <c r="K642" s="11" t="str">
        <f>("10662671191172")</f>
        <v>10662671191172</v>
      </c>
      <c r="L642" s="3">
        <v>20</v>
      </c>
      <c r="M642" s="3">
        <v>360</v>
      </c>
    </row>
    <row r="643" spans="1:13" x14ac:dyDescent="0.25">
      <c r="A643" s="3" t="s">
        <v>1371</v>
      </c>
      <c r="B643" s="10" t="s">
        <v>1351</v>
      </c>
      <c r="C643" s="3" t="str">
        <f>("755608")</f>
        <v>755608</v>
      </c>
      <c r="D643" s="11" t="str">
        <f>("662671190673")</f>
        <v>662671190673</v>
      </c>
      <c r="E643" s="3" t="s">
        <v>689</v>
      </c>
      <c r="F643" s="8" t="s">
        <v>690</v>
      </c>
      <c r="G643" s="14">
        <v>608.68616267368816</v>
      </c>
      <c r="H643" s="35">
        <v>45689</v>
      </c>
      <c r="I643" s="3">
        <v>2.76</v>
      </c>
      <c r="J643" s="3" t="s">
        <v>3</v>
      </c>
      <c r="K643" s="11" t="str">
        <f>("10662671190670")</f>
        <v>10662671190670</v>
      </c>
      <c r="L643" s="3">
        <v>10</v>
      </c>
      <c r="M643" s="3">
        <v>180</v>
      </c>
    </row>
    <row r="644" spans="1:13" x14ac:dyDescent="0.25">
      <c r="A644" s="3" t="s">
        <v>1371</v>
      </c>
      <c r="B644" s="10" t="s">
        <v>1351</v>
      </c>
      <c r="C644" s="3" t="str">
        <f>("755609")</f>
        <v>755609</v>
      </c>
      <c r="D644" s="11" t="str">
        <f>("662671190918")</f>
        <v>662671190918</v>
      </c>
      <c r="E644" s="3">
        <v>195156</v>
      </c>
      <c r="F644" s="8" t="s">
        <v>691</v>
      </c>
      <c r="G644" s="14">
        <v>1122.8896971114607</v>
      </c>
      <c r="H644" s="35">
        <v>45689</v>
      </c>
      <c r="I644" s="3">
        <v>5.9080000000000004</v>
      </c>
      <c r="J644" s="3" t="s">
        <v>3</v>
      </c>
      <c r="K644" s="11" t="str">
        <f>("10662671190915")</f>
        <v>10662671190915</v>
      </c>
      <c r="L644" s="3">
        <v>3</v>
      </c>
      <c r="M644" s="3">
        <v>72</v>
      </c>
    </row>
    <row r="645" spans="1:13" x14ac:dyDescent="0.25">
      <c r="A645" s="3" t="s">
        <v>1371</v>
      </c>
      <c r="B645" s="10" t="s">
        <v>1351</v>
      </c>
      <c r="C645" s="3" t="str">
        <f>("755602")</f>
        <v>755602</v>
      </c>
      <c r="D645" s="11" t="str">
        <f>("662671191748")</f>
        <v>662671191748</v>
      </c>
      <c r="E645" s="3" t="s">
        <v>692</v>
      </c>
      <c r="F645" s="8" t="s">
        <v>693</v>
      </c>
      <c r="G645" s="14">
        <v>111.09914505035877</v>
      </c>
      <c r="H645" s="35">
        <v>45689</v>
      </c>
      <c r="I645" s="3">
        <v>0.36399999999999999</v>
      </c>
      <c r="J645" s="3" t="s">
        <v>3</v>
      </c>
      <c r="K645" s="11" t="str">
        <f>("10662671191745")</f>
        <v>10662671191745</v>
      </c>
      <c r="L645" s="3">
        <v>50</v>
      </c>
      <c r="M645" s="3">
        <v>1600</v>
      </c>
    </row>
    <row r="646" spans="1:13" x14ac:dyDescent="0.25">
      <c r="A646" s="3" t="s">
        <v>1371</v>
      </c>
      <c r="B646" s="10" t="s">
        <v>1351</v>
      </c>
      <c r="C646" s="3" t="str">
        <f>("755601")</f>
        <v>755601</v>
      </c>
      <c r="D646" s="11" t="str">
        <f>("662671191205")</f>
        <v>662671191205</v>
      </c>
      <c r="E646" s="3" t="s">
        <v>694</v>
      </c>
      <c r="F646" s="8" t="s">
        <v>695</v>
      </c>
      <c r="G646" s="14">
        <v>100.60758769661874</v>
      </c>
      <c r="H646" s="35">
        <v>45689</v>
      </c>
      <c r="I646" s="3">
        <v>0.42099999999999999</v>
      </c>
      <c r="J646" s="3" t="s">
        <v>3</v>
      </c>
      <c r="K646" s="11" t="str">
        <f>("10662671191202")</f>
        <v>10662671191202</v>
      </c>
      <c r="L646" s="3">
        <v>40</v>
      </c>
      <c r="M646" s="3">
        <v>1280</v>
      </c>
    </row>
    <row r="647" spans="1:13" x14ac:dyDescent="0.25">
      <c r="A647" s="3" t="s">
        <v>1371</v>
      </c>
      <c r="B647" s="10" t="s">
        <v>1351</v>
      </c>
      <c r="C647" s="3" t="str">
        <f>("755600")</f>
        <v>755600</v>
      </c>
      <c r="D647" s="11" t="str">
        <f>("662671191229")</f>
        <v>662671191229</v>
      </c>
      <c r="E647" s="3" t="s">
        <v>696</v>
      </c>
      <c r="F647" s="8" t="s">
        <v>697</v>
      </c>
      <c r="G647" s="14">
        <v>127.43725461658804</v>
      </c>
      <c r="H647" s="35">
        <v>45689</v>
      </c>
      <c r="I647" s="3">
        <v>0.38400000000000001</v>
      </c>
      <c r="J647" s="3" t="s">
        <v>3</v>
      </c>
      <c r="K647" s="11" t="str">
        <f>("10662671191226")</f>
        <v>10662671191226</v>
      </c>
      <c r="L647" s="3">
        <v>20</v>
      </c>
      <c r="M647" s="3">
        <v>1440</v>
      </c>
    </row>
    <row r="648" spans="1:13" x14ac:dyDescent="0.25">
      <c r="A648" s="3" t="s">
        <v>1371</v>
      </c>
      <c r="B648" s="10" t="s">
        <v>1351</v>
      </c>
      <c r="C648" s="3" t="str">
        <f>("755603")</f>
        <v>755603</v>
      </c>
      <c r="D648" s="11" t="str">
        <f>("662671192929")</f>
        <v>662671192929</v>
      </c>
      <c r="E648" s="3" t="s">
        <v>698</v>
      </c>
      <c r="F648" s="8" t="s">
        <v>699</v>
      </c>
      <c r="G648" s="14">
        <v>238.17007434034969</v>
      </c>
      <c r="H648" s="35">
        <v>45689</v>
      </c>
      <c r="I648" s="3">
        <v>0.88800000000000001</v>
      </c>
      <c r="J648" s="3" t="s">
        <v>3</v>
      </c>
      <c r="K648" s="11" t="str">
        <f>("10662671192926")</f>
        <v>10662671192926</v>
      </c>
      <c r="L648" s="3">
        <v>10</v>
      </c>
      <c r="M648" s="3">
        <v>480</v>
      </c>
    </row>
    <row r="649" spans="1:13" x14ac:dyDescent="0.25">
      <c r="A649" s="3" t="s">
        <v>1371</v>
      </c>
      <c r="B649" s="10" t="s">
        <v>1351</v>
      </c>
      <c r="C649" s="3" t="str">
        <f>("755029")</f>
        <v>755029</v>
      </c>
      <c r="D649" s="11" t="str">
        <f>("662671192769")</f>
        <v>662671192769</v>
      </c>
      <c r="E649" s="3" t="s">
        <v>700</v>
      </c>
      <c r="F649" s="8" t="s">
        <v>701</v>
      </c>
      <c r="G649" s="14">
        <v>543.20184729119637</v>
      </c>
      <c r="H649" s="35">
        <v>45689</v>
      </c>
      <c r="I649" s="3">
        <v>1.5009999999999999</v>
      </c>
      <c r="J649" s="3" t="s">
        <v>3</v>
      </c>
      <c r="K649" s="11" t="str">
        <f>("10662671192766")</f>
        <v>10662671192766</v>
      </c>
      <c r="L649" s="3">
        <v>10</v>
      </c>
      <c r="M649" s="3">
        <v>320</v>
      </c>
    </row>
    <row r="650" spans="1:13" x14ac:dyDescent="0.25">
      <c r="A650" s="3" t="s">
        <v>1371</v>
      </c>
      <c r="B650" s="10" t="s">
        <v>1351</v>
      </c>
      <c r="C650" s="3" t="str">
        <f>("755031")</f>
        <v>755031</v>
      </c>
      <c r="D650" s="11" t="str">
        <f>("662671191908")</f>
        <v>662671191908</v>
      </c>
      <c r="E650" s="3" t="s">
        <v>702</v>
      </c>
      <c r="F650" s="8" t="s">
        <v>703</v>
      </c>
      <c r="G650" s="14">
        <v>375.17574648765327</v>
      </c>
      <c r="H650" s="35">
        <v>45689</v>
      </c>
      <c r="I650" s="3">
        <v>1.506</v>
      </c>
      <c r="J650" s="3" t="s">
        <v>3</v>
      </c>
      <c r="K650" s="11" t="str">
        <f>("10662671191905")</f>
        <v>10662671191905</v>
      </c>
      <c r="L650" s="3">
        <v>10</v>
      </c>
      <c r="M650" s="3">
        <v>320</v>
      </c>
    </row>
    <row r="651" spans="1:13" x14ac:dyDescent="0.25">
      <c r="A651" s="3" t="s">
        <v>1371</v>
      </c>
      <c r="B651" s="10" t="s">
        <v>1351</v>
      </c>
      <c r="C651" s="3" t="str">
        <f>("755030")</f>
        <v>755030</v>
      </c>
      <c r="D651" s="11" t="str">
        <f>("662671192776")</f>
        <v>662671192776</v>
      </c>
      <c r="E651" s="3" t="s">
        <v>704</v>
      </c>
      <c r="F651" s="8" t="s">
        <v>705</v>
      </c>
      <c r="G651" s="14">
        <v>543.20184729119637</v>
      </c>
      <c r="H651" s="35">
        <v>45689</v>
      </c>
      <c r="I651" s="3">
        <v>1.506</v>
      </c>
      <c r="J651" s="3" t="s">
        <v>3</v>
      </c>
      <c r="K651" s="11" t="str">
        <f>("10662671192773")</f>
        <v>10662671192773</v>
      </c>
      <c r="L651" s="3">
        <v>10</v>
      </c>
      <c r="M651" s="3">
        <v>320</v>
      </c>
    </row>
    <row r="652" spans="1:13" x14ac:dyDescent="0.25">
      <c r="A652" s="3" t="s">
        <v>1371</v>
      </c>
      <c r="B652" s="10" t="s">
        <v>1351</v>
      </c>
      <c r="C652" s="3" t="str">
        <f>("755032")</f>
        <v>755032</v>
      </c>
      <c r="D652" s="11" t="str">
        <f>("662671191496")</f>
        <v>662671191496</v>
      </c>
      <c r="E652" s="3" t="s">
        <v>706</v>
      </c>
      <c r="F652" s="8" t="s">
        <v>707</v>
      </c>
      <c r="G652" s="14">
        <v>375.17574648765327</v>
      </c>
      <c r="H652" s="35">
        <v>45689</v>
      </c>
      <c r="I652" s="3">
        <v>1.51</v>
      </c>
      <c r="J652" s="3" t="s">
        <v>3</v>
      </c>
      <c r="K652" s="11" t="str">
        <f>("10662671191493")</f>
        <v>10662671191493</v>
      </c>
      <c r="L652" s="3">
        <v>10</v>
      </c>
      <c r="M652" s="3">
        <v>320</v>
      </c>
    </row>
    <row r="653" spans="1:13" x14ac:dyDescent="0.25">
      <c r="A653" s="3" t="s">
        <v>1371</v>
      </c>
      <c r="B653" s="10" t="s">
        <v>1351</v>
      </c>
      <c r="C653" s="3" t="str">
        <f>("755059")</f>
        <v>755059</v>
      </c>
      <c r="D653" s="11" t="str">
        <f>("662671191526")</f>
        <v>662671191526</v>
      </c>
      <c r="E653" s="3">
        <v>192187</v>
      </c>
      <c r="F653" s="8" t="s">
        <v>708</v>
      </c>
      <c r="G653" s="14">
        <v>109.58988470477887</v>
      </c>
      <c r="H653" s="35">
        <v>45689</v>
      </c>
      <c r="I653" s="3">
        <v>0.439</v>
      </c>
      <c r="J653" s="3" t="s">
        <v>3</v>
      </c>
      <c r="K653" s="11" t="str">
        <f>("10662671191523")</f>
        <v>10662671191523</v>
      </c>
      <c r="L653" s="3">
        <v>15</v>
      </c>
      <c r="M653" s="3">
        <v>1080</v>
      </c>
    </row>
    <row r="654" spans="1:13" x14ac:dyDescent="0.25">
      <c r="A654" s="3" t="s">
        <v>1371</v>
      </c>
      <c r="B654" s="10" t="s">
        <v>1351</v>
      </c>
      <c r="C654" s="3" t="str">
        <f>("755058")</f>
        <v>755058</v>
      </c>
      <c r="D654" s="11" t="str">
        <f>("662671191755")</f>
        <v>662671191755</v>
      </c>
      <c r="E654" s="3">
        <v>192186</v>
      </c>
      <c r="F654" s="8" t="s">
        <v>709</v>
      </c>
      <c r="G654" s="14">
        <v>148.01008495827938</v>
      </c>
      <c r="H654" s="35">
        <v>45689</v>
      </c>
      <c r="I654" s="3">
        <v>0.69199999999999995</v>
      </c>
      <c r="J654" s="3" t="s">
        <v>3</v>
      </c>
      <c r="K654" s="11" t="str">
        <f>("10662671191752")</f>
        <v>10662671191752</v>
      </c>
      <c r="L654" s="3">
        <v>10</v>
      </c>
      <c r="M654" s="3">
        <v>720</v>
      </c>
    </row>
    <row r="655" spans="1:13" x14ac:dyDescent="0.25">
      <c r="A655" s="3" t="s">
        <v>1371</v>
      </c>
      <c r="B655" s="10" t="s">
        <v>1351</v>
      </c>
      <c r="C655" s="3" t="str">
        <f>("755056")</f>
        <v>755056</v>
      </c>
      <c r="D655" s="11" t="str">
        <f>("662671192066")</f>
        <v>662671192066</v>
      </c>
      <c r="E655" s="3">
        <v>192184</v>
      </c>
      <c r="F655" s="8" t="s">
        <v>710</v>
      </c>
      <c r="G655" s="14">
        <v>413.91831302855923</v>
      </c>
      <c r="H655" s="35">
        <v>45689</v>
      </c>
      <c r="I655" s="3">
        <v>1.768</v>
      </c>
      <c r="J655" s="3" t="s">
        <v>3</v>
      </c>
      <c r="K655" s="11" t="str">
        <f>("10662671192063")</f>
        <v>10662671192063</v>
      </c>
      <c r="L655" s="3">
        <v>5</v>
      </c>
      <c r="M655" s="3">
        <v>240</v>
      </c>
    </row>
    <row r="656" spans="1:13" x14ac:dyDescent="0.25">
      <c r="A656" s="3" t="s">
        <v>1371</v>
      </c>
      <c r="B656" s="10" t="s">
        <v>1351</v>
      </c>
      <c r="C656" s="3" t="str">
        <f>("755057")</f>
        <v>755057</v>
      </c>
      <c r="D656" s="11" t="str">
        <f>("662671192844")</f>
        <v>662671192844</v>
      </c>
      <c r="E656" s="3">
        <v>192185</v>
      </c>
      <c r="F656" s="8" t="s">
        <v>711</v>
      </c>
      <c r="G656" s="14">
        <v>665.73034253138371</v>
      </c>
      <c r="H656" s="35">
        <v>45689</v>
      </c>
      <c r="I656" s="3">
        <v>3.2629999999999999</v>
      </c>
      <c r="J656" s="3" t="s">
        <v>3</v>
      </c>
      <c r="K656" s="11" t="str">
        <f>("10662671192841")</f>
        <v>10662671192841</v>
      </c>
      <c r="L656" s="3">
        <v>6</v>
      </c>
      <c r="M656" s="3"/>
    </row>
    <row r="657" spans="1:13" x14ac:dyDescent="0.25">
      <c r="A657" s="3" t="s">
        <v>1371</v>
      </c>
      <c r="B657" s="10" t="s">
        <v>1351</v>
      </c>
      <c r="C657" s="3" t="str">
        <f>("755060")</f>
        <v>755060</v>
      </c>
      <c r="D657" s="11" t="str">
        <f>("662671191533")</f>
        <v>662671191533</v>
      </c>
      <c r="E657" s="3">
        <v>192188</v>
      </c>
      <c r="F657" s="8" t="s">
        <v>712</v>
      </c>
      <c r="G657" s="14">
        <v>116.21304660965386</v>
      </c>
      <c r="H657" s="35">
        <v>45689</v>
      </c>
      <c r="I657" s="3">
        <v>0.46700000000000003</v>
      </c>
      <c r="J657" s="3" t="s">
        <v>3</v>
      </c>
      <c r="K657" s="11" t="str">
        <f>("10662671191530")</f>
        <v>10662671191530</v>
      </c>
      <c r="L657" s="3">
        <v>20</v>
      </c>
      <c r="M657" s="3">
        <v>960</v>
      </c>
    </row>
    <row r="658" spans="1:13" x14ac:dyDescent="0.25">
      <c r="A658" s="3" t="s">
        <v>1371</v>
      </c>
      <c r="B658" s="10" t="s">
        <v>1351</v>
      </c>
      <c r="C658" s="3" t="str">
        <f>("755061")</f>
        <v>755061</v>
      </c>
      <c r="D658" s="11" t="str">
        <f>("662671192622")</f>
        <v>662671192622</v>
      </c>
      <c r="E658" s="3">
        <v>192189</v>
      </c>
      <c r="F658" s="8" t="s">
        <v>713</v>
      </c>
      <c r="G658" s="14">
        <v>269.52752229705879</v>
      </c>
      <c r="H658" s="35">
        <v>45689</v>
      </c>
      <c r="I658" s="3">
        <v>0.67</v>
      </c>
      <c r="J658" s="3" t="s">
        <v>3</v>
      </c>
      <c r="K658" s="11" t="str">
        <f>("10662671192629")</f>
        <v>10662671192629</v>
      </c>
      <c r="L658" s="3">
        <v>15</v>
      </c>
      <c r="M658" s="3">
        <v>480</v>
      </c>
    </row>
    <row r="659" spans="1:13" x14ac:dyDescent="0.25">
      <c r="A659" s="3" t="s">
        <v>1371</v>
      </c>
      <c r="B659" s="10" t="s">
        <v>1351</v>
      </c>
      <c r="C659" s="3" t="str">
        <f>("755055")</f>
        <v>755055</v>
      </c>
      <c r="D659" s="11" t="str">
        <f>("662671192059")</f>
        <v>662671192059</v>
      </c>
      <c r="E659" s="3">
        <v>192181</v>
      </c>
      <c r="F659" s="8" t="s">
        <v>714</v>
      </c>
      <c r="G659" s="14">
        <v>293.01630223846286</v>
      </c>
      <c r="H659" s="35">
        <v>45689</v>
      </c>
      <c r="I659" s="3">
        <v>1.0009999999999999</v>
      </c>
      <c r="J659" s="3" t="s">
        <v>3</v>
      </c>
      <c r="K659" s="11" t="str">
        <f>("10662671192056")</f>
        <v>10662671192056</v>
      </c>
      <c r="L659" s="3">
        <v>15</v>
      </c>
      <c r="M659" s="3">
        <v>480</v>
      </c>
    </row>
    <row r="660" spans="1:13" x14ac:dyDescent="0.25">
      <c r="A660" s="3" t="s">
        <v>1371</v>
      </c>
      <c r="B660" s="10" t="s">
        <v>1351</v>
      </c>
      <c r="C660" s="3" t="str">
        <f>("755000")</f>
        <v>755000</v>
      </c>
      <c r="D660" s="11" t="str">
        <f>("662671192158")</f>
        <v>662671192158</v>
      </c>
      <c r="E660" s="3">
        <v>192101</v>
      </c>
      <c r="F660" s="8" t="s">
        <v>715</v>
      </c>
      <c r="G660" s="14">
        <v>211.60416165553036</v>
      </c>
      <c r="H660" s="35">
        <v>45689</v>
      </c>
      <c r="I660" s="3">
        <v>0.249</v>
      </c>
      <c r="J660" s="3" t="s">
        <v>3</v>
      </c>
      <c r="K660" s="11" t="str">
        <f>("10662671192155")</f>
        <v>10662671192155</v>
      </c>
      <c r="L660" s="3">
        <v>15</v>
      </c>
      <c r="M660" s="3">
        <v>2160</v>
      </c>
    </row>
    <row r="661" spans="1:13" x14ac:dyDescent="0.25">
      <c r="A661" s="3" t="s">
        <v>1371</v>
      </c>
      <c r="B661" s="10" t="s">
        <v>1351</v>
      </c>
      <c r="C661" s="3" t="str">
        <f>("755001")</f>
        <v>755001</v>
      </c>
      <c r="D661" s="11" t="str">
        <f>("662671190017")</f>
        <v>662671190017</v>
      </c>
      <c r="E661" s="3">
        <v>192102</v>
      </c>
      <c r="F661" s="8" t="s">
        <v>716</v>
      </c>
      <c r="G661" s="14">
        <v>158.44303025976384</v>
      </c>
      <c r="H661" s="35">
        <v>45689</v>
      </c>
      <c r="I661" s="3">
        <v>0.375</v>
      </c>
      <c r="J661" s="3" t="s">
        <v>3</v>
      </c>
      <c r="K661" s="11" t="str">
        <f>("10662671190014")</f>
        <v>10662671190014</v>
      </c>
      <c r="L661" s="3">
        <v>20</v>
      </c>
      <c r="M661" s="3">
        <v>1440</v>
      </c>
    </row>
    <row r="662" spans="1:13" x14ac:dyDescent="0.25">
      <c r="A662" s="3" t="s">
        <v>1371</v>
      </c>
      <c r="B662" s="10" t="s">
        <v>1351</v>
      </c>
      <c r="C662" s="3" t="str">
        <f>("226092")</f>
        <v>226092</v>
      </c>
      <c r="D662" s="11" t="str">
        <f>("622454864634")</f>
        <v>622454864634</v>
      </c>
      <c r="E662" s="3">
        <v>192104</v>
      </c>
      <c r="F662" s="8" t="s">
        <v>717</v>
      </c>
      <c r="G662" s="14">
        <v>682.50804248952932</v>
      </c>
      <c r="H662" s="35">
        <v>45689</v>
      </c>
      <c r="I662" s="3">
        <v>2.5950000000000002</v>
      </c>
      <c r="J662" s="3" t="s">
        <v>3</v>
      </c>
      <c r="K662" s="11" t="str">
        <f>("10622454864631")</f>
        <v>10622454864631</v>
      </c>
      <c r="L662" s="3">
        <v>8</v>
      </c>
      <c r="M662" s="3">
        <v>192</v>
      </c>
    </row>
    <row r="663" spans="1:13" x14ac:dyDescent="0.25">
      <c r="A663" s="3" t="s">
        <v>1371</v>
      </c>
      <c r="B663" s="10" t="s">
        <v>1351</v>
      </c>
      <c r="C663" s="3" t="str">
        <f>("226176")</f>
        <v>226176</v>
      </c>
      <c r="D663" s="11" t="str">
        <f>("622454864641")</f>
        <v>622454864641</v>
      </c>
      <c r="E663" s="3">
        <v>192106</v>
      </c>
      <c r="F663" s="8" t="s">
        <v>718</v>
      </c>
      <c r="G663" s="14">
        <v>1201.3272760424247</v>
      </c>
      <c r="H663" s="35">
        <v>45689</v>
      </c>
      <c r="I663" s="3">
        <v>5.9039999999999999</v>
      </c>
      <c r="J663" s="3" t="s">
        <v>3</v>
      </c>
      <c r="K663" s="11" t="str">
        <f>("10622454864648")</f>
        <v>10622454864648</v>
      </c>
      <c r="L663" s="3">
        <v>5</v>
      </c>
      <c r="M663" s="3">
        <v>60</v>
      </c>
    </row>
    <row r="664" spans="1:13" x14ac:dyDescent="0.25">
      <c r="A664" s="3" t="s">
        <v>1371</v>
      </c>
      <c r="B664" s="10" t="s">
        <v>1351</v>
      </c>
      <c r="C664" s="3" t="str">
        <f>("226115")</f>
        <v>226115</v>
      </c>
      <c r="D664" s="11" t="str">
        <f>("622454875838")</f>
        <v>622454875838</v>
      </c>
      <c r="E664" s="3">
        <v>192108</v>
      </c>
      <c r="F664" s="8" t="s">
        <v>719</v>
      </c>
      <c r="G664" s="14">
        <v>1958.7708273406504</v>
      </c>
      <c r="H664" s="35">
        <v>45689</v>
      </c>
      <c r="I664" s="3">
        <v>13.757</v>
      </c>
      <c r="J664" s="3" t="s">
        <v>3</v>
      </c>
      <c r="K664" s="11" t="str">
        <f>("10622454875835")</f>
        <v>10622454875835</v>
      </c>
      <c r="L664" s="3">
        <v>2</v>
      </c>
      <c r="M664" s="3"/>
    </row>
    <row r="665" spans="1:13" x14ac:dyDescent="0.25">
      <c r="A665" s="3" t="s">
        <v>1371</v>
      </c>
      <c r="B665" s="10" t="s">
        <v>1351</v>
      </c>
      <c r="C665" s="3" t="str">
        <f>("626392")</f>
        <v>626392</v>
      </c>
      <c r="D665" s="11" t="str">
        <f>("622454876224")</f>
        <v>622454876224</v>
      </c>
      <c r="E665" s="3">
        <v>192105</v>
      </c>
      <c r="F665" s="8" t="s">
        <v>720</v>
      </c>
      <c r="G665" s="14">
        <v>2287.2181151675813</v>
      </c>
      <c r="H665" s="35">
        <v>45689</v>
      </c>
      <c r="I665" s="3">
        <v>25.126000000000001</v>
      </c>
      <c r="J665" s="3" t="s">
        <v>149</v>
      </c>
      <c r="K665" s="11" t="str">
        <f>("10622454876221")</f>
        <v>10622454876221</v>
      </c>
      <c r="L665" s="3">
        <v>8</v>
      </c>
      <c r="M665" s="3"/>
    </row>
    <row r="666" spans="1:13" x14ac:dyDescent="0.25">
      <c r="A666" s="3" t="s">
        <v>1371</v>
      </c>
      <c r="B666" s="10" t="s">
        <v>1351</v>
      </c>
      <c r="C666" s="3" t="str">
        <f>("626668")</f>
        <v>626668</v>
      </c>
      <c r="D666" s="11" t="str">
        <f>("622454868403")</f>
        <v>622454868403</v>
      </c>
      <c r="E666" s="3">
        <v>192107</v>
      </c>
      <c r="F666" s="8" t="s">
        <v>721</v>
      </c>
      <c r="G666" s="14">
        <v>3802.4275840514383</v>
      </c>
      <c r="H666" s="35">
        <v>45689</v>
      </c>
      <c r="I666" s="3">
        <v>38.128999999999998</v>
      </c>
      <c r="J666" s="3" t="s">
        <v>149</v>
      </c>
      <c r="K666" s="11" t="str">
        <f>("10622454868400")</f>
        <v>10622454868400</v>
      </c>
      <c r="L666" s="3">
        <v>6</v>
      </c>
      <c r="M666" s="3"/>
    </row>
    <row r="667" spans="1:13" x14ac:dyDescent="0.25">
      <c r="A667" s="3" t="s">
        <v>1371</v>
      </c>
      <c r="B667" s="10" t="s">
        <v>1351</v>
      </c>
      <c r="C667" s="3" t="str">
        <f>("294014")</f>
        <v>294014</v>
      </c>
      <c r="D667" s="11" t="str">
        <f>("622454598843")</f>
        <v>622454598843</v>
      </c>
      <c r="E667" s="3"/>
      <c r="F667" s="8" t="s">
        <v>722</v>
      </c>
      <c r="G667" s="14">
        <v>1627.2942635109703</v>
      </c>
      <c r="H667" s="35">
        <v>45689</v>
      </c>
      <c r="I667" s="3">
        <v>25.606999999999999</v>
      </c>
      <c r="J667" s="3" t="s">
        <v>10</v>
      </c>
      <c r="K667" s="11" t="str">
        <f>("20622454598847")</f>
        <v>20622454598847</v>
      </c>
      <c r="L667" s="3">
        <v>8</v>
      </c>
      <c r="M667" s="3"/>
    </row>
    <row r="668" spans="1:13" x14ac:dyDescent="0.25">
      <c r="A668" s="3" t="s">
        <v>1371</v>
      </c>
      <c r="B668" s="10" t="s">
        <v>1351</v>
      </c>
      <c r="C668" s="3" t="str">
        <f>("294016")</f>
        <v>294016</v>
      </c>
      <c r="D668" s="11" t="str">
        <f>("622454598867")</f>
        <v>622454598867</v>
      </c>
      <c r="E668" s="3"/>
      <c r="F668" s="8" t="s">
        <v>723</v>
      </c>
      <c r="G668" s="14">
        <v>2162.3456653456428</v>
      </c>
      <c r="H668" s="35">
        <v>45689</v>
      </c>
      <c r="I668" s="3">
        <v>40.627000000000002</v>
      </c>
      <c r="J668" s="3" t="s">
        <v>10</v>
      </c>
      <c r="K668" s="11" t="str">
        <f>("20622454598861")</f>
        <v>20622454598861</v>
      </c>
      <c r="L668" s="3">
        <v>5</v>
      </c>
      <c r="M668" s="3"/>
    </row>
    <row r="669" spans="1:13" x14ac:dyDescent="0.25">
      <c r="A669" s="3" t="s">
        <v>1371</v>
      </c>
      <c r="B669" s="10" t="s">
        <v>1351</v>
      </c>
      <c r="C669" s="3" t="str">
        <f>("294018")</f>
        <v>294018</v>
      </c>
      <c r="D669" s="11" t="str">
        <f>("622454598881")</f>
        <v>622454598881</v>
      </c>
      <c r="E669" s="3"/>
      <c r="F669" s="8" t="s">
        <v>724</v>
      </c>
      <c r="G669" s="14">
        <v>4250.8911373347801</v>
      </c>
      <c r="H669" s="35">
        <v>45689</v>
      </c>
      <c r="I669" s="3">
        <v>60.262999999999998</v>
      </c>
      <c r="J669" s="3" t="s">
        <v>10</v>
      </c>
      <c r="K669" s="11" t="str">
        <f>("10622454598888")</f>
        <v>10622454598888</v>
      </c>
      <c r="L669" s="3">
        <v>3</v>
      </c>
      <c r="M669" s="3"/>
    </row>
    <row r="670" spans="1:13" x14ac:dyDescent="0.25">
      <c r="A670" s="3" t="s">
        <v>1371</v>
      </c>
      <c r="B670" s="10" t="s">
        <v>1351</v>
      </c>
      <c r="C670" s="3" t="str">
        <f>("294020")</f>
        <v>294020</v>
      </c>
      <c r="D670" s="11" t="str">
        <f>("622454598904")</f>
        <v>622454598904</v>
      </c>
      <c r="E670" s="3"/>
      <c r="F670" s="8" t="s">
        <v>725</v>
      </c>
      <c r="G670" s="14">
        <v>6017.2987653227647</v>
      </c>
      <c r="H670" s="35">
        <v>45689</v>
      </c>
      <c r="I670" s="3">
        <v>78.95</v>
      </c>
      <c r="J670" s="3" t="s">
        <v>10</v>
      </c>
      <c r="K670" s="11" t="str">
        <f>("10622454598901")</f>
        <v>10622454598901</v>
      </c>
      <c r="L670" s="3">
        <v>3</v>
      </c>
      <c r="M670" s="3">
        <v>3</v>
      </c>
    </row>
    <row r="671" spans="1:13" x14ac:dyDescent="0.25">
      <c r="A671" s="3" t="s">
        <v>1371</v>
      </c>
      <c r="B671" s="10" t="s">
        <v>1351</v>
      </c>
      <c r="C671" s="3" t="str">
        <f>("294022")</f>
        <v>294022</v>
      </c>
      <c r="D671" s="11" t="str">
        <f>("622454598928")</f>
        <v>622454598928</v>
      </c>
      <c r="E671" s="3"/>
      <c r="F671" s="8" t="s">
        <v>726</v>
      </c>
      <c r="G671" s="14">
        <v>7477.9275921702911</v>
      </c>
      <c r="H671" s="35">
        <v>45689</v>
      </c>
      <c r="I671" s="3">
        <v>133.41300000000001</v>
      </c>
      <c r="J671" s="3" t="s">
        <v>10</v>
      </c>
      <c r="K671" s="11" t="str">
        <f>("00622454598928")</f>
        <v>00622454598928</v>
      </c>
      <c r="L671" s="3">
        <v>1</v>
      </c>
      <c r="M671" s="3"/>
    </row>
    <row r="672" spans="1:13" x14ac:dyDescent="0.25">
      <c r="A672" s="3" t="s">
        <v>1371</v>
      </c>
      <c r="B672" s="10" t="s">
        <v>1351</v>
      </c>
      <c r="C672" s="3" t="str">
        <f>("294024")</f>
        <v>294024</v>
      </c>
      <c r="D672" s="11" t="str">
        <f>("622454598959")</f>
        <v>622454598959</v>
      </c>
      <c r="E672" s="3"/>
      <c r="F672" s="8" t="s">
        <v>727</v>
      </c>
      <c r="G672" s="14">
        <v>9958.2905907213481</v>
      </c>
      <c r="H672" s="35">
        <v>45689</v>
      </c>
      <c r="I672" s="3">
        <v>156.32300000000001</v>
      </c>
      <c r="J672" s="3" t="s">
        <v>10</v>
      </c>
      <c r="K672" s="11" t="str">
        <f>("00622454598959")</f>
        <v>00622454598959</v>
      </c>
      <c r="L672" s="3">
        <v>1</v>
      </c>
      <c r="M672" s="3"/>
    </row>
    <row r="673" spans="1:13" x14ac:dyDescent="0.25">
      <c r="A673" s="3" t="s">
        <v>1371</v>
      </c>
      <c r="B673" s="10" t="s">
        <v>1351</v>
      </c>
      <c r="C673" s="3" t="str">
        <f>("294026")</f>
        <v>294026</v>
      </c>
      <c r="D673" s="11" t="str">
        <f>("622454598973")</f>
        <v>622454598973</v>
      </c>
      <c r="E673" s="3"/>
      <c r="F673" s="8" t="s">
        <v>728</v>
      </c>
      <c r="G673" s="14">
        <v>12406.427504840063</v>
      </c>
      <c r="H673" s="35">
        <v>45689</v>
      </c>
      <c r="I673" s="3">
        <v>326.03500000000003</v>
      </c>
      <c r="J673" s="3" t="s">
        <v>10</v>
      </c>
      <c r="K673" s="11" t="str">
        <f>("00622454598973")</f>
        <v>00622454598973</v>
      </c>
      <c r="L673" s="3">
        <v>1</v>
      </c>
      <c r="M673" s="3"/>
    </row>
    <row r="674" spans="1:13" x14ac:dyDescent="0.25">
      <c r="A674" s="3" t="s">
        <v>1371</v>
      </c>
      <c r="B674" s="10" t="s">
        <v>1351</v>
      </c>
      <c r="C674" s="3" t="str">
        <f>("226085")</f>
        <v>226085</v>
      </c>
      <c r="D674" s="11" t="str">
        <f>("622454875180")</f>
        <v>622454875180</v>
      </c>
      <c r="E674" s="3" t="s">
        <v>729</v>
      </c>
      <c r="F674" s="8" t="s">
        <v>730</v>
      </c>
      <c r="G674" s="14">
        <v>1102.2729077305778</v>
      </c>
      <c r="H674" s="35">
        <v>45689</v>
      </c>
      <c r="I674" s="3">
        <v>3.8010000000000002</v>
      </c>
      <c r="J674" s="3" t="s">
        <v>3</v>
      </c>
      <c r="K674" s="11" t="str">
        <f>("10622454875187")</f>
        <v>10622454875187</v>
      </c>
      <c r="L674" s="3">
        <v>2</v>
      </c>
      <c r="M674" s="3"/>
    </row>
    <row r="675" spans="1:13" x14ac:dyDescent="0.25">
      <c r="A675" s="3" t="s">
        <v>1371</v>
      </c>
      <c r="B675" s="10" t="s">
        <v>1351</v>
      </c>
      <c r="C675" s="3" t="str">
        <f>("226086")</f>
        <v>226086</v>
      </c>
      <c r="D675" s="11" t="str">
        <f>("622454875197")</f>
        <v>622454875197</v>
      </c>
      <c r="E675" s="3">
        <v>192157</v>
      </c>
      <c r="F675" s="8" t="s">
        <v>731</v>
      </c>
      <c r="G675" s="14">
        <v>4207.8911085421369</v>
      </c>
      <c r="H675" s="35">
        <v>45689</v>
      </c>
      <c r="I675" s="3">
        <v>8.73</v>
      </c>
      <c r="J675" s="3" t="s">
        <v>3</v>
      </c>
      <c r="K675" s="11" t="str">
        <f>("10622454875194")</f>
        <v>10622454875194</v>
      </c>
      <c r="L675" s="3">
        <v>2</v>
      </c>
      <c r="M675" s="3"/>
    </row>
    <row r="676" spans="1:13" x14ac:dyDescent="0.25">
      <c r="A676" s="3" t="s">
        <v>1371</v>
      </c>
      <c r="B676" s="10" t="s">
        <v>1351</v>
      </c>
      <c r="C676" s="3" t="str">
        <f>("226178")</f>
        <v>226178</v>
      </c>
      <c r="D676" s="11" t="str">
        <f>("622454864658")</f>
        <v>622454864658</v>
      </c>
      <c r="E676" s="3">
        <v>192129</v>
      </c>
      <c r="F676" s="8" t="s">
        <v>732</v>
      </c>
      <c r="G676" s="14">
        <v>4398.819868764529</v>
      </c>
      <c r="H676" s="35">
        <v>45689</v>
      </c>
      <c r="I676" s="3">
        <v>16.006</v>
      </c>
      <c r="J676" s="3" t="s">
        <v>3</v>
      </c>
      <c r="K676" s="11" t="str">
        <f>("10622454864655")</f>
        <v>10622454864655</v>
      </c>
      <c r="L676" s="3">
        <v>3</v>
      </c>
      <c r="M676" s="3">
        <v>36</v>
      </c>
    </row>
    <row r="677" spans="1:13" x14ac:dyDescent="0.25">
      <c r="A677" s="3" t="s">
        <v>1371</v>
      </c>
      <c r="B677" s="10" t="s">
        <v>1351</v>
      </c>
      <c r="C677" s="3" t="str">
        <f>("226087")</f>
        <v>226087</v>
      </c>
      <c r="D677" s="11" t="str">
        <f>("622454875227")</f>
        <v>622454875227</v>
      </c>
      <c r="E677" s="3">
        <v>192138</v>
      </c>
      <c r="F677" s="8" t="s">
        <v>733</v>
      </c>
      <c r="G677" s="14">
        <v>1468.4517041970066</v>
      </c>
      <c r="H677" s="35">
        <v>45689</v>
      </c>
      <c r="I677" s="3">
        <v>14.021000000000001</v>
      </c>
      <c r="J677" s="3" t="s">
        <v>149</v>
      </c>
      <c r="K677" s="11" t="str">
        <f>("10622454875224")</f>
        <v>10622454875224</v>
      </c>
      <c r="L677" s="3">
        <v>2</v>
      </c>
      <c r="M677" s="3"/>
    </row>
    <row r="678" spans="1:13" x14ac:dyDescent="0.25">
      <c r="A678" s="3" t="s">
        <v>1371</v>
      </c>
      <c r="B678" s="10" t="s">
        <v>1351</v>
      </c>
      <c r="C678" s="3" t="str">
        <f>("226088")</f>
        <v>226088</v>
      </c>
      <c r="D678" s="11" t="str">
        <f>("622454875364")</f>
        <v>622454875364</v>
      </c>
      <c r="E678" s="3">
        <v>192139</v>
      </c>
      <c r="F678" s="8" t="s">
        <v>734</v>
      </c>
      <c r="G678" s="14">
        <v>1806.8044288551225</v>
      </c>
      <c r="H678" s="35">
        <v>45689</v>
      </c>
      <c r="I678" s="3">
        <v>16.667000000000002</v>
      </c>
      <c r="J678" s="3" t="s">
        <v>149</v>
      </c>
      <c r="K678" s="11" t="str">
        <f>("00622454875364")</f>
        <v>00622454875364</v>
      </c>
      <c r="L678" s="3">
        <v>1</v>
      </c>
      <c r="M678" s="3"/>
    </row>
    <row r="679" spans="1:13" x14ac:dyDescent="0.25">
      <c r="A679" s="3" t="s">
        <v>1371</v>
      </c>
      <c r="B679" s="10" t="s">
        <v>1351</v>
      </c>
      <c r="C679" s="3" t="str">
        <f>("226089")</f>
        <v>226089</v>
      </c>
      <c r="D679" s="11" t="str">
        <f>("622454875234")</f>
        <v>622454875234</v>
      </c>
      <c r="E679" s="3">
        <v>192140</v>
      </c>
      <c r="F679" s="8" t="s">
        <v>735</v>
      </c>
      <c r="G679" s="14">
        <v>2027.0831742444716</v>
      </c>
      <c r="H679" s="35">
        <v>45689</v>
      </c>
      <c r="I679" s="3">
        <v>19.039000000000001</v>
      </c>
      <c r="J679" s="3" t="s">
        <v>149</v>
      </c>
      <c r="K679" s="11" t="str">
        <f>("10622454875231")</f>
        <v>10622454875231</v>
      </c>
      <c r="L679" s="3">
        <v>2</v>
      </c>
      <c r="M679" s="3"/>
    </row>
    <row r="680" spans="1:13" x14ac:dyDescent="0.25">
      <c r="A680" s="3" t="s">
        <v>1371</v>
      </c>
      <c r="B680" s="10" t="s">
        <v>1351</v>
      </c>
      <c r="C680" s="3" t="str">
        <f>("226090")</f>
        <v>226090</v>
      </c>
      <c r="D680" s="11" t="str">
        <f>("622454875241")</f>
        <v>622454875241</v>
      </c>
      <c r="E680" s="3">
        <v>192141</v>
      </c>
      <c r="F680" s="8" t="s">
        <v>736</v>
      </c>
      <c r="G680" s="14">
        <v>1985.4832701561086</v>
      </c>
      <c r="H680" s="35">
        <v>45689</v>
      </c>
      <c r="I680" s="3">
        <v>20.018000000000001</v>
      </c>
      <c r="J680" s="3" t="s">
        <v>149</v>
      </c>
      <c r="K680" s="11" t="str">
        <f>("10622454875248")</f>
        <v>10622454875248</v>
      </c>
      <c r="L680" s="3">
        <v>2</v>
      </c>
      <c r="M680" s="3"/>
    </row>
    <row r="681" spans="1:13" x14ac:dyDescent="0.25">
      <c r="A681" s="3" t="s">
        <v>1371</v>
      </c>
      <c r="B681" s="10" t="s">
        <v>1351</v>
      </c>
      <c r="C681" s="3" t="str">
        <f>("226166")</f>
        <v>226166</v>
      </c>
      <c r="D681" s="11" t="str">
        <f>("622454876149")</f>
        <v>622454876149</v>
      </c>
      <c r="E681" s="3">
        <v>192142</v>
      </c>
      <c r="F681" s="8" t="s">
        <v>737</v>
      </c>
      <c r="G681" s="14">
        <v>2267.0555691916793</v>
      </c>
      <c r="H681" s="35">
        <v>45689</v>
      </c>
      <c r="I681" s="3">
        <v>25.038</v>
      </c>
      <c r="J681" s="3" t="s">
        <v>149</v>
      </c>
      <c r="K681" s="11" t="str">
        <f>("10622454876146")</f>
        <v>10622454876146</v>
      </c>
      <c r="L681" s="3">
        <v>8</v>
      </c>
      <c r="M681" s="3"/>
    </row>
    <row r="682" spans="1:13" x14ac:dyDescent="0.25">
      <c r="A682" s="3" t="s">
        <v>1371</v>
      </c>
      <c r="B682" s="10" t="s">
        <v>1351</v>
      </c>
      <c r="C682" s="3" t="str">
        <f>("226091")</f>
        <v>226091</v>
      </c>
      <c r="D682" s="11" t="str">
        <f>("622454875449")</f>
        <v>622454875449</v>
      </c>
      <c r="E682" s="3">
        <v>192143</v>
      </c>
      <c r="F682" s="8" t="s">
        <v>738</v>
      </c>
      <c r="G682" s="14">
        <v>2593.0851098630696</v>
      </c>
      <c r="H682" s="35">
        <v>45689</v>
      </c>
      <c r="I682" s="3">
        <v>29.006</v>
      </c>
      <c r="J682" s="3" t="s">
        <v>149</v>
      </c>
      <c r="K682" s="11" t="str">
        <f>("00622454875449")</f>
        <v>00622454875449</v>
      </c>
      <c r="L682" s="3">
        <v>1</v>
      </c>
      <c r="M682" s="3"/>
    </row>
    <row r="683" spans="1:13" x14ac:dyDescent="0.25">
      <c r="A683" s="3" t="s">
        <v>1371</v>
      </c>
      <c r="B683" s="10" t="s">
        <v>1351</v>
      </c>
      <c r="C683" s="3" t="str">
        <f>("226093")</f>
        <v>226093</v>
      </c>
      <c r="D683" s="11" t="str">
        <f>("622454875326")</f>
        <v>622454875326</v>
      </c>
      <c r="E683" s="3">
        <v>192145</v>
      </c>
      <c r="F683" s="8" t="s">
        <v>739</v>
      </c>
      <c r="G683" s="14">
        <v>3094.0862795302842</v>
      </c>
      <c r="H683" s="35">
        <v>45689</v>
      </c>
      <c r="I683" s="3">
        <v>31.372</v>
      </c>
      <c r="J683" s="3" t="s">
        <v>149</v>
      </c>
      <c r="K683" s="11" t="str">
        <f>("10622454875323")</f>
        <v>10622454875323</v>
      </c>
      <c r="L683" s="3">
        <v>2</v>
      </c>
      <c r="M683" s="3"/>
    </row>
    <row r="684" spans="1:13" x14ac:dyDescent="0.25">
      <c r="A684" s="3" t="s">
        <v>1371</v>
      </c>
      <c r="B684" s="10" t="s">
        <v>1351</v>
      </c>
      <c r="C684" s="3" t="str">
        <f>("294037")</f>
        <v>294037</v>
      </c>
      <c r="D684" s="11" t="str">
        <f>("622454599086")</f>
        <v>622454599086</v>
      </c>
      <c r="E684" s="3"/>
      <c r="F684" s="8" t="s">
        <v>740</v>
      </c>
      <c r="G684" s="14">
        <v>886.83232350068761</v>
      </c>
      <c r="H684" s="35">
        <v>45689</v>
      </c>
      <c r="I684" s="3">
        <v>15.484999999999999</v>
      </c>
      <c r="J684" s="3" t="s">
        <v>10</v>
      </c>
      <c r="K684" s="11" t="str">
        <f>("10622454599083")</f>
        <v>10622454599083</v>
      </c>
      <c r="L684" s="3">
        <v>12</v>
      </c>
      <c r="M684" s="3"/>
    </row>
    <row r="685" spans="1:13" x14ac:dyDescent="0.25">
      <c r="A685" s="3" t="s">
        <v>1371</v>
      </c>
      <c r="B685" s="10" t="s">
        <v>1351</v>
      </c>
      <c r="C685" s="3" t="str">
        <f>("294040")</f>
        <v>294040</v>
      </c>
      <c r="D685" s="11" t="str">
        <f>("622454599116")</f>
        <v>622454599116</v>
      </c>
      <c r="E685" s="3"/>
      <c r="F685" s="8" t="s">
        <v>741</v>
      </c>
      <c r="G685" s="14">
        <v>1083.6328391180384</v>
      </c>
      <c r="H685" s="35">
        <v>45689</v>
      </c>
      <c r="I685" s="3">
        <v>19.262</v>
      </c>
      <c r="J685" s="3" t="s">
        <v>10</v>
      </c>
      <c r="K685" s="11" t="str">
        <f>("10622454599113")</f>
        <v>10622454599113</v>
      </c>
      <c r="L685" s="3">
        <v>8</v>
      </c>
      <c r="M685" s="3"/>
    </row>
    <row r="686" spans="1:13" x14ac:dyDescent="0.25">
      <c r="A686" s="3" t="s">
        <v>1371</v>
      </c>
      <c r="B686" s="10" t="s">
        <v>1351</v>
      </c>
      <c r="C686" s="3" t="str">
        <f>("294043")</f>
        <v>294043</v>
      </c>
      <c r="D686" s="11" t="str">
        <f>("622454599147")</f>
        <v>622454599147</v>
      </c>
      <c r="E686" s="3"/>
      <c r="F686" s="8" t="s">
        <v>742</v>
      </c>
      <c r="G686" s="14">
        <v>1452.6338059005714</v>
      </c>
      <c r="H686" s="35">
        <v>45689</v>
      </c>
      <c r="I686" s="3">
        <v>20.701000000000001</v>
      </c>
      <c r="J686" s="3" t="s">
        <v>10</v>
      </c>
      <c r="K686" s="11" t="str">
        <f>("00622454599147")</f>
        <v>00622454599147</v>
      </c>
      <c r="L686" s="3">
        <v>1</v>
      </c>
      <c r="M686" s="3"/>
    </row>
    <row r="687" spans="1:13" x14ac:dyDescent="0.25">
      <c r="A687" s="3" t="s">
        <v>1371</v>
      </c>
      <c r="B687" s="10" t="s">
        <v>1351</v>
      </c>
      <c r="C687" s="3" t="str">
        <f>("294046")</f>
        <v>294046</v>
      </c>
      <c r="D687" s="11" t="str">
        <f>("622454599178")</f>
        <v>622454599178</v>
      </c>
      <c r="E687" s="3"/>
      <c r="F687" s="8" t="s">
        <v>743</v>
      </c>
      <c r="G687" s="14">
        <v>1180.8030937041053</v>
      </c>
      <c r="H687" s="35">
        <v>45689</v>
      </c>
      <c r="I687" s="3">
        <v>21.170999999999999</v>
      </c>
      <c r="J687" s="3" t="s">
        <v>10</v>
      </c>
      <c r="K687" s="11" t="str">
        <f>("10622454599175")</f>
        <v>10622454599175</v>
      </c>
      <c r="L687" s="3">
        <v>7</v>
      </c>
      <c r="M687" s="3"/>
    </row>
    <row r="688" spans="1:13" x14ac:dyDescent="0.25">
      <c r="A688" s="3" t="s">
        <v>1371</v>
      </c>
      <c r="B688" s="10" t="s">
        <v>1351</v>
      </c>
      <c r="C688" s="3" t="str">
        <f>("294049")</f>
        <v>294049</v>
      </c>
      <c r="D688" s="11" t="str">
        <f>("622454599215")</f>
        <v>622454599215</v>
      </c>
      <c r="E688" s="3"/>
      <c r="F688" s="8" t="s">
        <v>744</v>
      </c>
      <c r="G688" s="14">
        <v>1370.3342902758402</v>
      </c>
      <c r="H688" s="35">
        <v>45689</v>
      </c>
      <c r="I688" s="3">
        <v>24.57</v>
      </c>
      <c r="J688" s="3" t="s">
        <v>10</v>
      </c>
      <c r="K688" s="11" t="str">
        <f>("00622454599215")</f>
        <v>00622454599215</v>
      </c>
      <c r="L688" s="3">
        <v>1</v>
      </c>
      <c r="M688" s="3"/>
    </row>
    <row r="689" spans="1:13" x14ac:dyDescent="0.25">
      <c r="A689" s="3" t="s">
        <v>1371</v>
      </c>
      <c r="B689" s="10" t="s">
        <v>1351</v>
      </c>
      <c r="C689" s="3" t="str">
        <f>("294053")</f>
        <v>294053</v>
      </c>
      <c r="D689" s="11" t="str">
        <f>("622454599253")</f>
        <v>622454599253</v>
      </c>
      <c r="E689" s="3"/>
      <c r="F689" s="8" t="s">
        <v>745</v>
      </c>
      <c r="G689" s="14">
        <v>1636.8021884217335</v>
      </c>
      <c r="H689" s="35">
        <v>45689</v>
      </c>
      <c r="I689" s="3">
        <v>29.006</v>
      </c>
      <c r="J689" s="3" t="s">
        <v>10</v>
      </c>
      <c r="K689" s="11" t="str">
        <f>("00622454599253")</f>
        <v>00622454599253</v>
      </c>
      <c r="L689" s="3">
        <v>1</v>
      </c>
      <c r="M689" s="3"/>
    </row>
    <row r="690" spans="1:13" x14ac:dyDescent="0.25">
      <c r="A690" s="3" t="s">
        <v>1371</v>
      </c>
      <c r="B690" s="10" t="s">
        <v>1351</v>
      </c>
      <c r="C690" s="3" t="str">
        <f>("294056")</f>
        <v>294056</v>
      </c>
      <c r="D690" s="11" t="str">
        <f>("622454599284")</f>
        <v>622454599284</v>
      </c>
      <c r="E690" s="3"/>
      <c r="F690" s="8" t="s">
        <v>746</v>
      </c>
      <c r="G690" s="14">
        <v>1865.1645867312172</v>
      </c>
      <c r="H690" s="35">
        <v>45689</v>
      </c>
      <c r="I690" s="3">
        <v>30.850999999999999</v>
      </c>
      <c r="J690" s="3" t="s">
        <v>10</v>
      </c>
      <c r="K690" s="11" t="str">
        <f>("00622454599284")</f>
        <v>00622454599284</v>
      </c>
      <c r="L690" s="3">
        <v>1</v>
      </c>
      <c r="M690" s="3"/>
    </row>
    <row r="691" spans="1:13" x14ac:dyDescent="0.25">
      <c r="A691" s="3" t="s">
        <v>1371</v>
      </c>
      <c r="B691" s="10" t="s">
        <v>1351</v>
      </c>
      <c r="C691" s="3" t="str">
        <f>("294058")</f>
        <v>294058</v>
      </c>
      <c r="D691" s="11" t="str">
        <f>("622454599307")</f>
        <v>622454599307</v>
      </c>
      <c r="E691" s="3"/>
      <c r="F691" s="8" t="s">
        <v>747</v>
      </c>
      <c r="G691" s="14">
        <v>2219.4055148424491</v>
      </c>
      <c r="H691" s="35">
        <v>45689</v>
      </c>
      <c r="I691" s="3">
        <v>26.928999999999998</v>
      </c>
      <c r="J691" s="3" t="s">
        <v>10</v>
      </c>
      <c r="K691" s="11" t="str">
        <f>("00622454599307")</f>
        <v>00622454599307</v>
      </c>
      <c r="L691" s="3">
        <v>1</v>
      </c>
      <c r="M691" s="3"/>
    </row>
    <row r="692" spans="1:13" x14ac:dyDescent="0.25">
      <c r="A692" s="3" t="s">
        <v>1371</v>
      </c>
      <c r="B692" s="10" t="s">
        <v>1351</v>
      </c>
      <c r="C692" s="3" t="str">
        <f>("294061")</f>
        <v>294061</v>
      </c>
      <c r="D692" s="11" t="str">
        <f>("622454599338")</f>
        <v>622454599338</v>
      </c>
      <c r="E692" s="3"/>
      <c r="F692" s="8" t="s">
        <v>748</v>
      </c>
      <c r="G692" s="14">
        <v>2604.6425241634133</v>
      </c>
      <c r="H692" s="35">
        <v>45689</v>
      </c>
      <c r="I692" s="3">
        <v>32.076999999999998</v>
      </c>
      <c r="J692" s="3" t="s">
        <v>10</v>
      </c>
      <c r="K692" s="11" t="str">
        <f>("10622454599335")</f>
        <v>10622454599335</v>
      </c>
      <c r="L692" s="3">
        <v>6</v>
      </c>
      <c r="M692" s="3"/>
    </row>
    <row r="693" spans="1:13" x14ac:dyDescent="0.25">
      <c r="A693" s="3" t="s">
        <v>1371</v>
      </c>
      <c r="B693" s="10" t="s">
        <v>1351</v>
      </c>
      <c r="C693" s="3" t="str">
        <f>("294064")</f>
        <v>294064</v>
      </c>
      <c r="D693" s="11" t="str">
        <f>("622454599369")</f>
        <v>622454599369</v>
      </c>
      <c r="E693" s="3"/>
      <c r="F693" s="8" t="s">
        <v>749</v>
      </c>
      <c r="G693" s="14">
        <v>3105.4383362484409</v>
      </c>
      <c r="H693" s="35">
        <v>45689</v>
      </c>
      <c r="I693" s="3">
        <v>33.746000000000002</v>
      </c>
      <c r="J693" s="3" t="s">
        <v>10</v>
      </c>
      <c r="K693" s="11" t="str">
        <f>("00622454599369")</f>
        <v>00622454599369</v>
      </c>
      <c r="L693" s="3">
        <v>1</v>
      </c>
      <c r="M693" s="3"/>
    </row>
    <row r="694" spans="1:13" x14ac:dyDescent="0.25">
      <c r="A694" s="3" t="s">
        <v>1371</v>
      </c>
      <c r="B694" s="10" t="s">
        <v>1351</v>
      </c>
      <c r="C694" s="3" t="str">
        <f>("294067")</f>
        <v>294067</v>
      </c>
      <c r="D694" s="11" t="str">
        <f>("622454599406")</f>
        <v>622454599406</v>
      </c>
      <c r="E694" s="3"/>
      <c r="F694" s="8" t="s">
        <v>750</v>
      </c>
      <c r="G694" s="14">
        <v>3529.998548596197</v>
      </c>
      <c r="H694" s="35">
        <v>45689</v>
      </c>
      <c r="I694" s="3">
        <v>40.587000000000003</v>
      </c>
      <c r="J694" s="3" t="s">
        <v>10</v>
      </c>
      <c r="K694" s="11" t="str">
        <f>("00622454599406")</f>
        <v>00622454599406</v>
      </c>
      <c r="L694" s="3">
        <v>1</v>
      </c>
      <c r="M694" s="3"/>
    </row>
    <row r="695" spans="1:13" x14ac:dyDescent="0.25">
      <c r="A695" s="3" t="s">
        <v>1371</v>
      </c>
      <c r="B695" s="10" t="s">
        <v>1351</v>
      </c>
      <c r="C695" s="3" t="str">
        <f>("294069")</f>
        <v>294069</v>
      </c>
      <c r="D695" s="11" t="str">
        <f>("622454599598")</f>
        <v>622454599598</v>
      </c>
      <c r="E695" s="3"/>
      <c r="F695" s="8" t="s">
        <v>751</v>
      </c>
      <c r="G695" s="14">
        <v>4175.9470409812475</v>
      </c>
      <c r="H695" s="35">
        <v>45689</v>
      </c>
      <c r="I695" s="3">
        <v>43.582999999999998</v>
      </c>
      <c r="J695" s="3" t="s">
        <v>10</v>
      </c>
      <c r="K695" s="11" t="str">
        <f>("00622454599598")</f>
        <v>00622454599598</v>
      </c>
      <c r="L695" s="3">
        <v>1</v>
      </c>
      <c r="M695" s="3"/>
    </row>
    <row r="696" spans="1:13" x14ac:dyDescent="0.25">
      <c r="A696" s="3" t="s">
        <v>1371</v>
      </c>
      <c r="B696" s="10" t="s">
        <v>1351</v>
      </c>
      <c r="C696" s="3" t="str">
        <f>("294071")</f>
        <v>294071</v>
      </c>
      <c r="D696" s="11" t="str">
        <f>("622454599611")</f>
        <v>622454599611</v>
      </c>
      <c r="E696" s="3"/>
      <c r="F696" s="8" t="s">
        <v>752</v>
      </c>
      <c r="G696" s="14">
        <v>2752.4028112953656</v>
      </c>
      <c r="H696" s="35">
        <v>45689</v>
      </c>
      <c r="I696" s="3">
        <v>45.933</v>
      </c>
      <c r="J696" s="3" t="s">
        <v>10</v>
      </c>
      <c r="K696" s="11" t="str">
        <f>("00622454599611")</f>
        <v>00622454599611</v>
      </c>
      <c r="L696" s="3">
        <v>1</v>
      </c>
      <c r="M696" s="3"/>
    </row>
    <row r="697" spans="1:13" x14ac:dyDescent="0.25">
      <c r="A697" s="3" t="s">
        <v>1371</v>
      </c>
      <c r="B697" s="10" t="s">
        <v>1351</v>
      </c>
      <c r="C697" s="3" t="str">
        <f>("294074")</f>
        <v>294074</v>
      </c>
      <c r="D697" s="11" t="str">
        <f>("622454599642")</f>
        <v>622454599642</v>
      </c>
      <c r="E697" s="3"/>
      <c r="F697" s="8" t="s">
        <v>753</v>
      </c>
      <c r="G697" s="14">
        <v>2977.2474003881889</v>
      </c>
      <c r="H697" s="35">
        <v>45689</v>
      </c>
      <c r="I697" s="3">
        <v>41.405000000000001</v>
      </c>
      <c r="J697" s="3" t="s">
        <v>10</v>
      </c>
      <c r="K697" s="11" t="str">
        <f>("00622454599642")</f>
        <v>00622454599642</v>
      </c>
      <c r="L697" s="3">
        <v>1</v>
      </c>
      <c r="M697" s="3"/>
    </row>
    <row r="698" spans="1:13" x14ac:dyDescent="0.25">
      <c r="A698" s="3" t="s">
        <v>1371</v>
      </c>
      <c r="B698" s="10" t="s">
        <v>1351</v>
      </c>
      <c r="C698" s="3" t="str">
        <f>("294076")</f>
        <v>294076</v>
      </c>
      <c r="D698" s="11" t="str">
        <f>("622454599666")</f>
        <v>622454599666</v>
      </c>
      <c r="E698" s="3"/>
      <c r="F698" s="8" t="s">
        <v>754</v>
      </c>
      <c r="G698" s="14">
        <v>3485.4109317766411</v>
      </c>
      <c r="H698" s="35">
        <v>45689</v>
      </c>
      <c r="I698" s="3">
        <v>48.643000000000001</v>
      </c>
      <c r="J698" s="3" t="s">
        <v>10</v>
      </c>
      <c r="K698" s="11" t="str">
        <f>("10622454599663")</f>
        <v>10622454599663</v>
      </c>
      <c r="L698" s="3">
        <v>3</v>
      </c>
      <c r="M698" s="3"/>
    </row>
    <row r="699" spans="1:13" x14ac:dyDescent="0.25">
      <c r="A699" s="3" t="s">
        <v>1371</v>
      </c>
      <c r="B699" s="10" t="s">
        <v>1351</v>
      </c>
      <c r="C699" s="3" t="str">
        <f>("294079")</f>
        <v>294079</v>
      </c>
      <c r="D699" s="11" t="str">
        <f>("622454599697")</f>
        <v>622454599697</v>
      </c>
      <c r="E699" s="3"/>
      <c r="F699" s="8" t="s">
        <v>755</v>
      </c>
      <c r="G699" s="14">
        <v>4381.2222788023701</v>
      </c>
      <c r="H699" s="35">
        <v>45689</v>
      </c>
      <c r="I699" s="3">
        <v>58.683</v>
      </c>
      <c r="J699" s="3" t="s">
        <v>10</v>
      </c>
      <c r="K699" s="11" t="str">
        <f>("10622454599694")</f>
        <v>10622454599694</v>
      </c>
      <c r="L699" s="3">
        <v>3</v>
      </c>
      <c r="M699" s="3"/>
    </row>
    <row r="700" spans="1:13" x14ac:dyDescent="0.25">
      <c r="A700" s="3" t="s">
        <v>1371</v>
      </c>
      <c r="B700" s="10" t="s">
        <v>1351</v>
      </c>
      <c r="C700" s="3" t="str">
        <f>("294081")</f>
        <v>294081</v>
      </c>
      <c r="D700" s="11" t="str">
        <f>("622454599710")</f>
        <v>622454599710</v>
      </c>
      <c r="E700" s="3"/>
      <c r="F700" s="8" t="s">
        <v>756</v>
      </c>
      <c r="G700" s="14">
        <v>4974.9079342587875</v>
      </c>
      <c r="H700" s="35">
        <v>45689</v>
      </c>
      <c r="I700" s="3">
        <v>61.762</v>
      </c>
      <c r="J700" s="3" t="s">
        <v>10</v>
      </c>
      <c r="K700" s="11" t="str">
        <f>("10622454599717")</f>
        <v>10622454599717</v>
      </c>
      <c r="L700" s="3">
        <v>2</v>
      </c>
      <c r="M700" s="3"/>
    </row>
    <row r="701" spans="1:13" x14ac:dyDescent="0.25">
      <c r="A701" s="3" t="s">
        <v>1371</v>
      </c>
      <c r="B701" s="10" t="s">
        <v>1351</v>
      </c>
      <c r="C701" s="3" t="str">
        <f>("294083")</f>
        <v>294083</v>
      </c>
      <c r="D701" s="11" t="str">
        <f>("622454599734")</f>
        <v>622454599734</v>
      </c>
      <c r="E701" s="3"/>
      <c r="F701" s="8" t="s">
        <v>757</v>
      </c>
      <c r="G701" s="14">
        <v>5904.0892687138848</v>
      </c>
      <c r="H701" s="35">
        <v>45689</v>
      </c>
      <c r="I701" s="3">
        <v>61.290999999999997</v>
      </c>
      <c r="J701" s="3" t="s">
        <v>10</v>
      </c>
      <c r="K701" s="11" t="str">
        <f>("00622454599734")</f>
        <v>00622454599734</v>
      </c>
      <c r="L701" s="3">
        <v>1</v>
      </c>
      <c r="M701" s="3"/>
    </row>
    <row r="702" spans="1:13" x14ac:dyDescent="0.25">
      <c r="A702" s="3" t="s">
        <v>1371</v>
      </c>
      <c r="B702" s="10" t="s">
        <v>1351</v>
      </c>
      <c r="C702" s="3" t="str">
        <f>("294091")</f>
        <v>294091</v>
      </c>
      <c r="D702" s="11" t="str">
        <f>("622454599819")</f>
        <v>622454599819</v>
      </c>
      <c r="E702" s="3"/>
      <c r="F702" s="8" t="s">
        <v>758</v>
      </c>
      <c r="G702" s="14">
        <v>5239.1495265717595</v>
      </c>
      <c r="H702" s="35">
        <v>45689</v>
      </c>
      <c r="I702" s="3">
        <v>72.846999999999994</v>
      </c>
      <c r="J702" s="3" t="s">
        <v>10</v>
      </c>
      <c r="K702" s="11" t="str">
        <f>("00622454599819")</f>
        <v>00622454599819</v>
      </c>
      <c r="L702" s="3">
        <v>1</v>
      </c>
      <c r="M702" s="3"/>
    </row>
    <row r="703" spans="1:13" x14ac:dyDescent="0.25">
      <c r="A703" s="3" t="s">
        <v>1371</v>
      </c>
      <c r="B703" s="10" t="s">
        <v>1351</v>
      </c>
      <c r="C703" s="3" t="str">
        <f>("294093")</f>
        <v>294093</v>
      </c>
      <c r="D703" s="11" t="str">
        <f>("622454599833")</f>
        <v>622454599833</v>
      </c>
      <c r="E703" s="3"/>
      <c r="F703" s="8" t="s">
        <v>759</v>
      </c>
      <c r="G703" s="14">
        <v>5581.3979232625588</v>
      </c>
      <c r="H703" s="35">
        <v>45689</v>
      </c>
      <c r="I703" s="3">
        <v>73.459999999999994</v>
      </c>
      <c r="J703" s="3" t="s">
        <v>10</v>
      </c>
      <c r="K703" s="11" t="str">
        <f>("00622454599833")</f>
        <v>00622454599833</v>
      </c>
      <c r="L703" s="3">
        <v>1</v>
      </c>
      <c r="M703" s="3"/>
    </row>
    <row r="704" spans="1:13" x14ac:dyDescent="0.25">
      <c r="A704" s="3" t="s">
        <v>1371</v>
      </c>
      <c r="B704" s="10" t="s">
        <v>1351</v>
      </c>
      <c r="C704" s="3" t="str">
        <f>("294095")</f>
        <v>294095</v>
      </c>
      <c r="D704" s="11" t="str">
        <f>("622454599857")</f>
        <v>622454599857</v>
      </c>
      <c r="E704" s="3"/>
      <c r="F704" s="8" t="s">
        <v>760</v>
      </c>
      <c r="G704" s="14">
        <v>5986.4871845964235</v>
      </c>
      <c r="H704" s="35">
        <v>45689</v>
      </c>
      <c r="I704" s="3">
        <v>79.018000000000001</v>
      </c>
      <c r="J704" s="3" t="s">
        <v>10</v>
      </c>
      <c r="K704" s="11" t="str">
        <f>("00622454599857")</f>
        <v>00622454599857</v>
      </c>
      <c r="L704" s="3">
        <v>1</v>
      </c>
      <c r="M704" s="3"/>
    </row>
    <row r="705" spans="1:13" x14ac:dyDescent="0.25">
      <c r="A705" s="3" t="s">
        <v>1371</v>
      </c>
      <c r="B705" s="10" t="s">
        <v>1351</v>
      </c>
      <c r="C705" s="3" t="str">
        <f>("294097")</f>
        <v>294097</v>
      </c>
      <c r="D705" s="11" t="str">
        <f>("622454599871")</f>
        <v>622454599871</v>
      </c>
      <c r="E705" s="3"/>
      <c r="F705" s="8" t="s">
        <v>761</v>
      </c>
      <c r="G705" s="14">
        <v>6425.5368349065075</v>
      </c>
      <c r="H705" s="35">
        <v>45689</v>
      </c>
      <c r="I705" s="3">
        <v>86.988</v>
      </c>
      <c r="J705" s="3" t="s">
        <v>10</v>
      </c>
      <c r="K705" s="11" t="str">
        <f>("00622454599871")</f>
        <v>00622454599871</v>
      </c>
      <c r="L705" s="3">
        <v>1</v>
      </c>
      <c r="M705" s="3"/>
    </row>
    <row r="706" spans="1:13" x14ac:dyDescent="0.25">
      <c r="A706" s="3" t="s">
        <v>1371</v>
      </c>
      <c r="B706" s="10" t="s">
        <v>1351</v>
      </c>
      <c r="C706" s="3" t="str">
        <f>("294099")</f>
        <v>294099</v>
      </c>
      <c r="D706" s="11" t="str">
        <f>("622454599895")</f>
        <v>622454599895</v>
      </c>
      <c r="E706" s="3"/>
      <c r="F706" s="8" t="s">
        <v>762</v>
      </c>
      <c r="G706" s="14">
        <v>5312.3839184458666</v>
      </c>
      <c r="H706" s="35">
        <v>45689</v>
      </c>
      <c r="I706" s="3">
        <v>65.728999999999999</v>
      </c>
      <c r="J706" s="3" t="s">
        <v>10</v>
      </c>
      <c r="K706" s="11" t="str">
        <f>("00622454599895")</f>
        <v>00622454599895</v>
      </c>
      <c r="L706" s="3">
        <v>1</v>
      </c>
      <c r="M706" s="3"/>
    </row>
    <row r="707" spans="1:13" x14ac:dyDescent="0.25">
      <c r="A707" s="3" t="s">
        <v>1371</v>
      </c>
      <c r="B707" s="10" t="s">
        <v>1351</v>
      </c>
      <c r="C707" s="3" t="str">
        <f>("294101")</f>
        <v>294101</v>
      </c>
      <c r="D707" s="11" t="str">
        <f>("622454599918")</f>
        <v>622454599918</v>
      </c>
      <c r="E707" s="3"/>
      <c r="F707" s="8" t="s">
        <v>763</v>
      </c>
      <c r="G707" s="14">
        <v>5621.237727642846</v>
      </c>
      <c r="H707" s="35">
        <v>45689</v>
      </c>
      <c r="I707" s="3">
        <v>71.138999999999996</v>
      </c>
      <c r="J707" s="3" t="s">
        <v>10</v>
      </c>
      <c r="K707" s="11" t="str">
        <f>("00622454599918")</f>
        <v>00622454599918</v>
      </c>
      <c r="L707" s="3">
        <v>1</v>
      </c>
      <c r="M707" s="3"/>
    </row>
    <row r="708" spans="1:13" x14ac:dyDescent="0.25">
      <c r="A708" s="3" t="s">
        <v>1371</v>
      </c>
      <c r="B708" s="10" t="s">
        <v>1351</v>
      </c>
      <c r="C708" s="3" t="str">
        <f>("294103")</f>
        <v>294103</v>
      </c>
      <c r="D708" s="11" t="str">
        <f>("622454599932")</f>
        <v>622454599932</v>
      </c>
      <c r="E708" s="3"/>
      <c r="F708" s="8" t="s">
        <v>764</v>
      </c>
      <c r="G708" s="14">
        <v>5939.8085622984336</v>
      </c>
      <c r="H708" s="35">
        <v>45689</v>
      </c>
      <c r="I708" s="3">
        <v>76.438999999999993</v>
      </c>
      <c r="J708" s="3" t="s">
        <v>10</v>
      </c>
      <c r="K708" s="11" t="str">
        <f>("00622454599932")</f>
        <v>00622454599932</v>
      </c>
      <c r="L708" s="3">
        <v>1</v>
      </c>
      <c r="M708" s="3"/>
    </row>
    <row r="709" spans="1:13" x14ac:dyDescent="0.25">
      <c r="A709" s="3" t="s">
        <v>1371</v>
      </c>
      <c r="B709" s="10" t="s">
        <v>1351</v>
      </c>
      <c r="C709" s="3" t="str">
        <f>("294105")</f>
        <v>294105</v>
      </c>
      <c r="D709" s="11" t="str">
        <f>("622454599956")</f>
        <v>622454599956</v>
      </c>
      <c r="E709" s="3"/>
      <c r="F709" s="8" t="s">
        <v>765</v>
      </c>
      <c r="G709" s="14">
        <v>6374.5532013293878</v>
      </c>
      <c r="H709" s="35">
        <v>45689</v>
      </c>
      <c r="I709" s="3">
        <v>82.6</v>
      </c>
      <c r="J709" s="3" t="s">
        <v>10</v>
      </c>
      <c r="K709" s="11" t="str">
        <f>("00622454599956")</f>
        <v>00622454599956</v>
      </c>
      <c r="L709" s="3">
        <v>1</v>
      </c>
      <c r="M709" s="3"/>
    </row>
    <row r="710" spans="1:13" x14ac:dyDescent="0.25">
      <c r="A710" s="3" t="s">
        <v>1371</v>
      </c>
      <c r="B710" s="10" t="s">
        <v>1351</v>
      </c>
      <c r="C710" s="3" t="str">
        <f>("294107")</f>
        <v>294107</v>
      </c>
      <c r="D710" s="11" t="str">
        <f>("622454599970")</f>
        <v>622454599970</v>
      </c>
      <c r="E710" s="3"/>
      <c r="F710" s="8" t="s">
        <v>766</v>
      </c>
      <c r="G710" s="14">
        <v>6749.7656843860932</v>
      </c>
      <c r="H710" s="35">
        <v>45689</v>
      </c>
      <c r="I710" s="3">
        <v>89.207999999999998</v>
      </c>
      <c r="J710" s="3" t="s">
        <v>10</v>
      </c>
      <c r="K710" s="11" t="str">
        <f>("00622454599970")</f>
        <v>00622454599970</v>
      </c>
      <c r="L710" s="3">
        <v>1</v>
      </c>
      <c r="M710" s="3"/>
    </row>
    <row r="711" spans="1:13" x14ac:dyDescent="0.25">
      <c r="A711" s="3" t="s">
        <v>1371</v>
      </c>
      <c r="B711" s="10" t="s">
        <v>1351</v>
      </c>
      <c r="C711" s="3" t="str">
        <f>("294109")</f>
        <v>294109</v>
      </c>
      <c r="D711" s="11" t="str">
        <f>("622454600010")</f>
        <v>622454600010</v>
      </c>
      <c r="E711" s="3"/>
      <c r="F711" s="8" t="s">
        <v>767</v>
      </c>
      <c r="G711" s="14">
        <v>7284.0790842872002</v>
      </c>
      <c r="H711" s="35">
        <v>45689</v>
      </c>
      <c r="I711" s="3">
        <v>94.853999999999999</v>
      </c>
      <c r="J711" s="3" t="s">
        <v>10</v>
      </c>
      <c r="K711" s="11" t="str">
        <f>("00622454600010")</f>
        <v>00622454600010</v>
      </c>
      <c r="L711" s="3">
        <v>1</v>
      </c>
      <c r="M711" s="3"/>
    </row>
    <row r="712" spans="1:13" x14ac:dyDescent="0.25">
      <c r="A712" s="3" t="s">
        <v>1371</v>
      </c>
      <c r="B712" s="10" t="s">
        <v>1351</v>
      </c>
      <c r="C712" s="3" t="str">
        <f>("294111")</f>
        <v>294111</v>
      </c>
      <c r="D712" s="11" t="str">
        <f>("622454600034")</f>
        <v>622454600034</v>
      </c>
      <c r="E712" s="3"/>
      <c r="F712" s="8" t="s">
        <v>768</v>
      </c>
      <c r="G712" s="14">
        <v>7756.2773214465815</v>
      </c>
      <c r="H712" s="35">
        <v>45689</v>
      </c>
      <c r="I712" s="3">
        <v>113.58</v>
      </c>
      <c r="J712" s="3" t="s">
        <v>10</v>
      </c>
      <c r="K712" s="11" t="str">
        <f>("00622454600034")</f>
        <v>00622454600034</v>
      </c>
      <c r="L712" s="3">
        <v>1</v>
      </c>
      <c r="M712" s="3"/>
    </row>
    <row r="713" spans="1:13" x14ac:dyDescent="0.25">
      <c r="A713" s="3" t="s">
        <v>1371</v>
      </c>
      <c r="B713" s="10" t="s">
        <v>1351</v>
      </c>
      <c r="C713" s="3" t="str">
        <f>("294113")</f>
        <v>294113</v>
      </c>
      <c r="D713" s="11" t="str">
        <f>("622454600058")</f>
        <v>622454600058</v>
      </c>
      <c r="E713" s="3"/>
      <c r="F713" s="8" t="s">
        <v>769</v>
      </c>
      <c r="G713" s="14">
        <v>8555.4104151752872</v>
      </c>
      <c r="H713" s="35">
        <v>45689</v>
      </c>
      <c r="I713" s="3">
        <v>114.45699999999999</v>
      </c>
      <c r="J713" s="3" t="s">
        <v>10</v>
      </c>
      <c r="K713" s="11" t="str">
        <f>("00622454600058")</f>
        <v>00622454600058</v>
      </c>
      <c r="L713" s="3">
        <v>1</v>
      </c>
      <c r="M713" s="3"/>
    </row>
    <row r="714" spans="1:13" x14ac:dyDescent="0.25">
      <c r="A714" s="3" t="s">
        <v>1371</v>
      </c>
      <c r="B714" s="10" t="s">
        <v>1351</v>
      </c>
      <c r="C714" s="3" t="str">
        <f>("294115")</f>
        <v>294115</v>
      </c>
      <c r="D714" s="11" t="str">
        <f>("622454600072")</f>
        <v>622454600072</v>
      </c>
      <c r="E714" s="3"/>
      <c r="F714" s="8" t="s">
        <v>770</v>
      </c>
      <c r="G714" s="14">
        <v>7314.9521651746727</v>
      </c>
      <c r="H714" s="35">
        <v>45689</v>
      </c>
      <c r="I714" s="3">
        <v>104.129</v>
      </c>
      <c r="J714" s="3" t="s">
        <v>10</v>
      </c>
      <c r="K714" s="11" t="str">
        <f>("00622454600072")</f>
        <v>00622454600072</v>
      </c>
      <c r="L714" s="3">
        <v>1</v>
      </c>
      <c r="M714" s="3"/>
    </row>
    <row r="715" spans="1:13" x14ac:dyDescent="0.25">
      <c r="A715" s="3" t="s">
        <v>1371</v>
      </c>
      <c r="B715" s="10" t="s">
        <v>1351</v>
      </c>
      <c r="C715" s="3" t="str">
        <f>("294117")</f>
        <v>294117</v>
      </c>
      <c r="D715" s="11" t="str">
        <f>("622454600096")</f>
        <v>622454600096</v>
      </c>
      <c r="E715" s="3"/>
      <c r="F715" s="8" t="s">
        <v>771</v>
      </c>
      <c r="G715" s="14">
        <v>7688.9961451699</v>
      </c>
      <c r="H715" s="35">
        <v>45689</v>
      </c>
      <c r="I715" s="3">
        <v>110.67</v>
      </c>
      <c r="J715" s="3" t="s">
        <v>10</v>
      </c>
      <c r="K715" s="11" t="str">
        <f>("00622454600096")</f>
        <v>00622454600096</v>
      </c>
      <c r="L715" s="3">
        <v>1</v>
      </c>
      <c r="M715" s="3"/>
    </row>
    <row r="716" spans="1:13" x14ac:dyDescent="0.25">
      <c r="A716" s="3" t="s">
        <v>1371</v>
      </c>
      <c r="B716" s="10" t="s">
        <v>1351</v>
      </c>
      <c r="C716" s="3" t="str">
        <f>("294119")</f>
        <v>294119</v>
      </c>
      <c r="D716" s="11" t="str">
        <f>("622454600119")</f>
        <v>622454600119</v>
      </c>
      <c r="E716" s="3"/>
      <c r="F716" s="8" t="s">
        <v>772</v>
      </c>
      <c r="G716" s="14">
        <v>8157.3813723391968</v>
      </c>
      <c r="H716" s="35">
        <v>45689</v>
      </c>
      <c r="I716" s="3">
        <v>120.432</v>
      </c>
      <c r="J716" s="3" t="s">
        <v>10</v>
      </c>
      <c r="K716" s="11" t="str">
        <f>("00622454600119")</f>
        <v>00622454600119</v>
      </c>
      <c r="L716" s="3">
        <v>1</v>
      </c>
      <c r="M716" s="3"/>
    </row>
    <row r="717" spans="1:13" x14ac:dyDescent="0.25">
      <c r="A717" s="3" t="s">
        <v>1371</v>
      </c>
      <c r="B717" s="10" t="s">
        <v>1351</v>
      </c>
      <c r="C717" s="3" t="str">
        <f>("294121")</f>
        <v>294121</v>
      </c>
      <c r="D717" s="11" t="str">
        <f>("622454600133")</f>
        <v>622454600133</v>
      </c>
      <c r="E717" s="3"/>
      <c r="F717" s="8" t="s">
        <v>773</v>
      </c>
      <c r="G717" s="14">
        <v>8618.0175792060563</v>
      </c>
      <c r="H717" s="35">
        <v>45689</v>
      </c>
      <c r="I717" s="3">
        <v>125.767</v>
      </c>
      <c r="J717" s="3" t="s">
        <v>10</v>
      </c>
      <c r="K717" s="11" t="str">
        <f>("00622454600133")</f>
        <v>00622454600133</v>
      </c>
      <c r="L717" s="3">
        <v>1</v>
      </c>
      <c r="M717" s="3"/>
    </row>
    <row r="718" spans="1:13" x14ac:dyDescent="0.25">
      <c r="A718" s="3" t="s">
        <v>1371</v>
      </c>
      <c r="B718" s="10" t="s">
        <v>1351</v>
      </c>
      <c r="C718" s="3" t="str">
        <f>("294123")</f>
        <v>294123</v>
      </c>
      <c r="D718" s="11" t="str">
        <f>("622454600157")</f>
        <v>622454600157</v>
      </c>
      <c r="E718" s="3"/>
      <c r="F718" s="8" t="s">
        <v>774</v>
      </c>
      <c r="G718" s="14">
        <v>9081.1137925181356</v>
      </c>
      <c r="H718" s="35">
        <v>45689</v>
      </c>
      <c r="I718" s="3">
        <v>133.547</v>
      </c>
      <c r="J718" s="3" t="s">
        <v>10</v>
      </c>
      <c r="K718" s="11" t="str">
        <f>("00622454600157")</f>
        <v>00622454600157</v>
      </c>
      <c r="L718" s="3">
        <v>1</v>
      </c>
      <c r="M718" s="3"/>
    </row>
    <row r="719" spans="1:13" x14ac:dyDescent="0.25">
      <c r="A719" s="3" t="s">
        <v>1371</v>
      </c>
      <c r="B719" s="10" t="s">
        <v>1351</v>
      </c>
      <c r="C719" s="3" t="str">
        <f>("294125")</f>
        <v>294125</v>
      </c>
      <c r="D719" s="11" t="str">
        <f>("622454600171")</f>
        <v>622454600171</v>
      </c>
      <c r="E719" s="3"/>
      <c r="F719" s="8" t="s">
        <v>775</v>
      </c>
      <c r="G719" s="14">
        <v>9704.7254263806171</v>
      </c>
      <c r="H719" s="35">
        <v>45689</v>
      </c>
      <c r="I719" s="3">
        <v>140.43899999999999</v>
      </c>
      <c r="J719" s="3" t="s">
        <v>10</v>
      </c>
      <c r="K719" s="11" t="str">
        <f>("00622454600171")</f>
        <v>00622454600171</v>
      </c>
      <c r="L719" s="3">
        <v>1</v>
      </c>
      <c r="M719" s="3"/>
    </row>
    <row r="720" spans="1:13" x14ac:dyDescent="0.25">
      <c r="A720" s="3" t="s">
        <v>1371</v>
      </c>
      <c r="B720" s="10" t="s">
        <v>1351</v>
      </c>
      <c r="C720" s="3" t="str">
        <f>("294127")</f>
        <v>294127</v>
      </c>
      <c r="D720" s="11" t="str">
        <f>("622454600195")</f>
        <v>622454600195</v>
      </c>
      <c r="E720" s="3"/>
      <c r="F720" s="8" t="s">
        <v>776</v>
      </c>
      <c r="G720" s="14">
        <v>10264.376892667457</v>
      </c>
      <c r="H720" s="35">
        <v>45689</v>
      </c>
      <c r="I720" s="3">
        <v>150.72800000000001</v>
      </c>
      <c r="J720" s="3" t="s">
        <v>10</v>
      </c>
      <c r="K720" s="11" t="str">
        <f>("00622454600195")</f>
        <v>00622454600195</v>
      </c>
      <c r="L720" s="3">
        <v>1</v>
      </c>
      <c r="M720" s="3"/>
    </row>
    <row r="721" spans="1:13" x14ac:dyDescent="0.25">
      <c r="A721" s="3" t="s">
        <v>1371</v>
      </c>
      <c r="B721" s="10" t="s">
        <v>1351</v>
      </c>
      <c r="C721" s="3" t="str">
        <f>("294129")</f>
        <v>294129</v>
      </c>
      <c r="D721" s="11" t="str">
        <f>("622454600218")</f>
        <v>622454600218</v>
      </c>
      <c r="E721" s="3"/>
      <c r="F721" s="8" t="s">
        <v>777</v>
      </c>
      <c r="G721" s="14">
        <v>11149.979212945538</v>
      </c>
      <c r="H721" s="35">
        <v>45689</v>
      </c>
      <c r="I721" s="3">
        <v>163.208</v>
      </c>
      <c r="J721" s="3" t="s">
        <v>10</v>
      </c>
      <c r="K721" s="11" t="str">
        <f>("00622454600218")</f>
        <v>00622454600218</v>
      </c>
      <c r="L721" s="3">
        <v>1</v>
      </c>
      <c r="M721" s="3"/>
    </row>
    <row r="722" spans="1:13" x14ac:dyDescent="0.25">
      <c r="A722" s="3" t="s">
        <v>1371</v>
      </c>
      <c r="B722" s="10" t="s">
        <v>1351</v>
      </c>
      <c r="C722" s="3" t="str">
        <f>("294131")</f>
        <v>294131</v>
      </c>
      <c r="D722" s="11" t="str">
        <f>("622454600232")</f>
        <v>622454600232</v>
      </c>
      <c r="E722" s="3"/>
      <c r="F722" s="8" t="s">
        <v>778</v>
      </c>
      <c r="G722" s="14">
        <v>11971.621365647976</v>
      </c>
      <c r="H722" s="35">
        <v>45689</v>
      </c>
      <c r="I722" s="3">
        <v>174.721</v>
      </c>
      <c r="J722" s="3" t="s">
        <v>10</v>
      </c>
      <c r="K722" s="11" t="str">
        <f>("00622454600232")</f>
        <v>00622454600232</v>
      </c>
      <c r="L722" s="3">
        <v>1</v>
      </c>
      <c r="M722" s="3"/>
    </row>
    <row r="723" spans="1:13" x14ac:dyDescent="0.25">
      <c r="A723" s="3" t="s">
        <v>1371</v>
      </c>
      <c r="B723" s="10" t="s">
        <v>1351</v>
      </c>
      <c r="C723" s="3" t="str">
        <f>("755525")</f>
        <v>755525</v>
      </c>
      <c r="D723" s="11" t="str">
        <f>("662671190857")</f>
        <v>662671190857</v>
      </c>
      <c r="E723" s="3">
        <v>193750</v>
      </c>
      <c r="F723" s="8" t="s">
        <v>779</v>
      </c>
      <c r="G723" s="14">
        <v>806.35530890546613</v>
      </c>
      <c r="H723" s="35">
        <v>45689</v>
      </c>
      <c r="I723" s="3">
        <v>0.90800000000000003</v>
      </c>
      <c r="J723" s="3" t="s">
        <v>3</v>
      </c>
      <c r="K723" s="11" t="str">
        <f>("10662671190854")</f>
        <v>10662671190854</v>
      </c>
      <c r="L723" s="3">
        <v>15</v>
      </c>
      <c r="M723" s="3">
        <v>480</v>
      </c>
    </row>
    <row r="724" spans="1:13" x14ac:dyDescent="0.25">
      <c r="A724" s="3" t="s">
        <v>1371</v>
      </c>
      <c r="B724" s="10" t="s">
        <v>1351</v>
      </c>
      <c r="C724" s="3" t="str">
        <f>("294359")</f>
        <v>294359</v>
      </c>
      <c r="D724" s="11" t="str">
        <f>("622454602694")</f>
        <v>622454602694</v>
      </c>
      <c r="E724" s="3"/>
      <c r="F724" s="8" t="s">
        <v>780</v>
      </c>
      <c r="G724" s="14">
        <v>659.786028639395</v>
      </c>
      <c r="H724" s="35">
        <v>45689</v>
      </c>
      <c r="I724" s="3">
        <v>10.287000000000001</v>
      </c>
      <c r="J724" s="3" t="s">
        <v>10</v>
      </c>
      <c r="K724" s="11" t="str">
        <f>("10622454602691")</f>
        <v>10622454602691</v>
      </c>
      <c r="L724" s="3">
        <v>18</v>
      </c>
      <c r="M724" s="3"/>
    </row>
    <row r="725" spans="1:13" x14ac:dyDescent="0.25">
      <c r="A725" s="3" t="s">
        <v>1371</v>
      </c>
      <c r="B725" s="10" t="s">
        <v>1351</v>
      </c>
      <c r="C725" s="3" t="str">
        <f>("294361")</f>
        <v>294361</v>
      </c>
      <c r="D725" s="11" t="str">
        <f>("622454602717")</f>
        <v>622454602717</v>
      </c>
      <c r="E725" s="3"/>
      <c r="F725" s="8" t="s">
        <v>781</v>
      </c>
      <c r="G725" s="14">
        <v>1332.5977914062134</v>
      </c>
      <c r="H725" s="35">
        <v>45689</v>
      </c>
      <c r="I725" s="3">
        <v>18.045000000000002</v>
      </c>
      <c r="J725" s="3" t="s">
        <v>10</v>
      </c>
      <c r="K725" s="11" t="str">
        <f>("10622454602714")</f>
        <v>10622454602714</v>
      </c>
      <c r="L725" s="3">
        <v>12</v>
      </c>
      <c r="M725" s="3"/>
    </row>
    <row r="726" spans="1:13" x14ac:dyDescent="0.25">
      <c r="A726" s="3" t="s">
        <v>1371</v>
      </c>
      <c r="B726" s="10" t="s">
        <v>1351</v>
      </c>
      <c r="C726" s="3" t="str">
        <f>("294363")</f>
        <v>294363</v>
      </c>
      <c r="D726" s="11" t="str">
        <f>("622454602731")</f>
        <v>622454602731</v>
      </c>
      <c r="E726" s="3"/>
      <c r="F726" s="8" t="s">
        <v>782</v>
      </c>
      <c r="G726" s="14">
        <v>2169.2951835533809</v>
      </c>
      <c r="H726" s="35">
        <v>45689</v>
      </c>
      <c r="I726" s="3">
        <v>27.939</v>
      </c>
      <c r="J726" s="3" t="s">
        <v>10</v>
      </c>
      <c r="K726" s="11" t="str">
        <f>("00622454602731")</f>
        <v>00622454602731</v>
      </c>
      <c r="L726" s="3">
        <v>1</v>
      </c>
      <c r="M726" s="3"/>
    </row>
    <row r="727" spans="1:13" x14ac:dyDescent="0.25">
      <c r="A727" s="3" t="s">
        <v>1371</v>
      </c>
      <c r="B727" s="10" t="s">
        <v>1351</v>
      </c>
      <c r="C727" s="3" t="str">
        <f>("294365")</f>
        <v>294365</v>
      </c>
      <c r="D727" s="11" t="str">
        <f>("622454602755")</f>
        <v>622454602755</v>
      </c>
      <c r="E727" s="3"/>
      <c r="F727" s="8" t="s">
        <v>783</v>
      </c>
      <c r="G727" s="14">
        <v>2859.6959924034995</v>
      </c>
      <c r="H727" s="35">
        <v>45689</v>
      </c>
      <c r="I727" s="3">
        <v>50.783000000000001</v>
      </c>
      <c r="J727" s="3" t="s">
        <v>10</v>
      </c>
      <c r="K727" s="11" t="str">
        <f>("10622454602752")</f>
        <v>10622454602752</v>
      </c>
      <c r="L727" s="3">
        <v>4</v>
      </c>
      <c r="M727" s="3"/>
    </row>
    <row r="728" spans="1:13" x14ac:dyDescent="0.25">
      <c r="A728" s="3" t="s">
        <v>1371</v>
      </c>
      <c r="B728" s="10" t="s">
        <v>1351</v>
      </c>
      <c r="C728" s="3" t="str">
        <f>("294367")</f>
        <v>294367</v>
      </c>
      <c r="D728" s="11" t="str">
        <f>("622454602779")</f>
        <v>622454602779</v>
      </c>
      <c r="E728" s="3"/>
      <c r="F728" s="8" t="s">
        <v>784</v>
      </c>
      <c r="G728" s="14">
        <v>4750.6291466483635</v>
      </c>
      <c r="H728" s="35">
        <v>45689</v>
      </c>
      <c r="I728" s="3">
        <v>80.352000000000004</v>
      </c>
      <c r="J728" s="3" t="s">
        <v>10</v>
      </c>
      <c r="K728" s="11" t="str">
        <f>("10622454602776")</f>
        <v>10622454602776</v>
      </c>
      <c r="L728" s="3">
        <v>2</v>
      </c>
      <c r="M728" s="3"/>
    </row>
    <row r="729" spans="1:13" x14ac:dyDescent="0.25">
      <c r="A729" s="3" t="s">
        <v>1371</v>
      </c>
      <c r="B729" s="10" t="s">
        <v>1351</v>
      </c>
      <c r="C729" s="3" t="str">
        <f>("294369")</f>
        <v>294369</v>
      </c>
      <c r="D729" s="11" t="str">
        <f>("622454602793")</f>
        <v>622454602793</v>
      </c>
      <c r="E729" s="3"/>
      <c r="F729" s="8" t="s">
        <v>785</v>
      </c>
      <c r="G729" s="14">
        <v>6939.628981827932</v>
      </c>
      <c r="H729" s="35">
        <v>45689</v>
      </c>
      <c r="I729" s="3">
        <v>89.6</v>
      </c>
      <c r="J729" s="3" t="s">
        <v>10</v>
      </c>
      <c r="K729" s="11" t="str">
        <f>("00622454602793")</f>
        <v>00622454602793</v>
      </c>
      <c r="L729" s="3">
        <v>1</v>
      </c>
      <c r="M729" s="3"/>
    </row>
    <row r="730" spans="1:13" x14ac:dyDescent="0.25">
      <c r="A730" s="3" t="s">
        <v>1371</v>
      </c>
      <c r="B730" s="10" t="s">
        <v>1351</v>
      </c>
      <c r="C730" s="3" t="str">
        <f>("294371")</f>
        <v>294371</v>
      </c>
      <c r="D730" s="11" t="str">
        <f>("622454602816")</f>
        <v>622454602816</v>
      </c>
      <c r="E730" s="3"/>
      <c r="F730" s="8" t="s">
        <v>786</v>
      </c>
      <c r="G730" s="14">
        <v>9831.809359340521</v>
      </c>
      <c r="H730" s="35">
        <v>45689</v>
      </c>
      <c r="I730" s="3">
        <v>133.41300000000001</v>
      </c>
      <c r="J730" s="3" t="s">
        <v>10</v>
      </c>
      <c r="K730" s="11" t="str">
        <f>("00622454602816")</f>
        <v>00622454602816</v>
      </c>
      <c r="L730" s="3">
        <v>1</v>
      </c>
      <c r="M730" s="3"/>
    </row>
    <row r="731" spans="1:13" x14ac:dyDescent="0.25">
      <c r="A731" s="3" t="s">
        <v>1371</v>
      </c>
      <c r="B731" s="10" t="s">
        <v>1351</v>
      </c>
      <c r="C731" s="3" t="str">
        <f>("294373")</f>
        <v>294373</v>
      </c>
      <c r="D731" s="11" t="str">
        <f>("622454602830")</f>
        <v>622454602830</v>
      </c>
      <c r="E731" s="3"/>
      <c r="F731" s="8" t="s">
        <v>787</v>
      </c>
      <c r="G731" s="14">
        <v>16726.444823285437</v>
      </c>
      <c r="H731" s="35">
        <v>45689</v>
      </c>
      <c r="I731" s="3">
        <v>153.81399999999999</v>
      </c>
      <c r="J731" s="3" t="s">
        <v>10</v>
      </c>
      <c r="K731" s="11" t="str">
        <f>("00622454602830")</f>
        <v>00622454602830</v>
      </c>
      <c r="L731" s="3">
        <v>1</v>
      </c>
      <c r="M731" s="3"/>
    </row>
    <row r="732" spans="1:13" x14ac:dyDescent="0.25">
      <c r="A732" s="3" t="s">
        <v>1371</v>
      </c>
      <c r="B732" s="10" t="s">
        <v>1351</v>
      </c>
      <c r="C732" s="3" t="str">
        <f>("294375")</f>
        <v>294375</v>
      </c>
      <c r="D732" s="11" t="str">
        <f>("622454602854")</f>
        <v>622454602854</v>
      </c>
      <c r="E732" s="3"/>
      <c r="F732" s="8" t="s">
        <v>788</v>
      </c>
      <c r="G732" s="14">
        <v>22029.406917046126</v>
      </c>
      <c r="H732" s="35">
        <v>45689</v>
      </c>
      <c r="I732" s="3">
        <v>251.37299999999999</v>
      </c>
      <c r="J732" s="3" t="s">
        <v>10</v>
      </c>
      <c r="K732" s="11" t="str">
        <f>("00622454602854")</f>
        <v>00622454602854</v>
      </c>
      <c r="L732" s="3">
        <v>1</v>
      </c>
      <c r="M732" s="3"/>
    </row>
    <row r="733" spans="1:13" x14ac:dyDescent="0.25">
      <c r="A733" s="3" t="s">
        <v>1371</v>
      </c>
      <c r="B733" s="10" t="s">
        <v>1351</v>
      </c>
      <c r="C733" s="3" t="str">
        <f>("294377")</f>
        <v>294377</v>
      </c>
      <c r="D733" s="11" t="str">
        <f>("622454602878")</f>
        <v>622454602878</v>
      </c>
      <c r="E733" s="3"/>
      <c r="F733" s="8" t="s">
        <v>789</v>
      </c>
      <c r="G733" s="14">
        <v>646.66189425416292</v>
      </c>
      <c r="H733" s="35">
        <v>45689</v>
      </c>
      <c r="I733" s="3">
        <v>6.4989999999999997</v>
      </c>
      <c r="J733" s="3" t="s">
        <v>10</v>
      </c>
      <c r="K733" s="11" t="str">
        <f>("00622454602878")</f>
        <v>00622454602878</v>
      </c>
      <c r="L733" s="3">
        <v>1</v>
      </c>
      <c r="M733" s="3"/>
    </row>
    <row r="734" spans="1:13" x14ac:dyDescent="0.25">
      <c r="A734" s="3" t="s">
        <v>1371</v>
      </c>
      <c r="B734" s="10" t="s">
        <v>1351</v>
      </c>
      <c r="C734" s="3" t="str">
        <f>("294379")</f>
        <v>294379</v>
      </c>
      <c r="D734" s="11" t="str">
        <f>("622454602892")</f>
        <v>622454602892</v>
      </c>
      <c r="E734" s="3"/>
      <c r="F734" s="8" t="s">
        <v>790</v>
      </c>
      <c r="G734" s="14">
        <v>1016.855964162626</v>
      </c>
      <c r="H734" s="35">
        <v>45689</v>
      </c>
      <c r="I734" s="3">
        <v>10.734</v>
      </c>
      <c r="J734" s="3" t="s">
        <v>10</v>
      </c>
      <c r="K734" s="11" t="str">
        <f>("80622454602898")</f>
        <v>80622454602898</v>
      </c>
      <c r="L734" s="3">
        <v>10</v>
      </c>
      <c r="M734" s="3"/>
    </row>
    <row r="735" spans="1:13" x14ac:dyDescent="0.25">
      <c r="A735" s="3" t="s">
        <v>1371</v>
      </c>
      <c r="B735" s="10" t="s">
        <v>1351</v>
      </c>
      <c r="C735" s="3" t="str">
        <f>("294381")</f>
        <v>294381</v>
      </c>
      <c r="D735" s="11" t="str">
        <f>("622454602915")</f>
        <v>622454602915</v>
      </c>
      <c r="E735" s="3"/>
      <c r="F735" s="8" t="s">
        <v>791</v>
      </c>
      <c r="G735" s="14">
        <v>1279.4862522539809</v>
      </c>
      <c r="H735" s="35">
        <v>45689</v>
      </c>
      <c r="I735" s="3">
        <v>13.464</v>
      </c>
      <c r="J735" s="3" t="s">
        <v>10</v>
      </c>
      <c r="K735" s="11" t="str">
        <f>("10622454602912")</f>
        <v>10622454602912</v>
      </c>
      <c r="L735" s="3">
        <v>9</v>
      </c>
      <c r="M735" s="3"/>
    </row>
    <row r="736" spans="1:13" x14ac:dyDescent="0.25">
      <c r="A736" s="3" t="s">
        <v>1371</v>
      </c>
      <c r="B736" s="10" t="s">
        <v>1351</v>
      </c>
      <c r="C736" s="3" t="str">
        <f>("294383")</f>
        <v>294383</v>
      </c>
      <c r="D736" s="11" t="str">
        <f>("622454602939")</f>
        <v>622454602939</v>
      </c>
      <c r="E736" s="3"/>
      <c r="F736" s="8" t="s">
        <v>792</v>
      </c>
      <c r="G736" s="14">
        <v>1200.5323453947449</v>
      </c>
      <c r="H736" s="35">
        <v>45689</v>
      </c>
      <c r="I736" s="3">
        <v>17.081</v>
      </c>
      <c r="J736" s="3" t="s">
        <v>10</v>
      </c>
      <c r="K736" s="11" t="str">
        <f>("00622454602939")</f>
        <v>00622454602939</v>
      </c>
      <c r="L736" s="3">
        <v>1</v>
      </c>
      <c r="M736" s="3"/>
    </row>
    <row r="737" spans="1:13" x14ac:dyDescent="0.25">
      <c r="A737" s="3" t="s">
        <v>1371</v>
      </c>
      <c r="B737" s="10" t="s">
        <v>1351</v>
      </c>
      <c r="C737" s="3" t="str">
        <f>("294385")</f>
        <v>294385</v>
      </c>
      <c r="D737" s="11" t="str">
        <f>("622454602953")</f>
        <v>622454602953</v>
      </c>
      <c r="E737" s="3"/>
      <c r="F737" s="8" t="s">
        <v>793</v>
      </c>
      <c r="G737" s="14">
        <v>1376.7426070656304</v>
      </c>
      <c r="H737" s="35">
        <v>45689</v>
      </c>
      <c r="I737" s="3">
        <v>19.379000000000001</v>
      </c>
      <c r="J737" s="3" t="s">
        <v>10</v>
      </c>
      <c r="K737" s="11" t="str">
        <f>("00622454602953")</f>
        <v>00622454602953</v>
      </c>
      <c r="L737" s="3">
        <v>1</v>
      </c>
      <c r="M737" s="3"/>
    </row>
    <row r="738" spans="1:13" x14ac:dyDescent="0.25">
      <c r="A738" s="3" t="s">
        <v>1371</v>
      </c>
      <c r="B738" s="10" t="s">
        <v>1351</v>
      </c>
      <c r="C738" s="3" t="str">
        <f>("294387")</f>
        <v>294387</v>
      </c>
      <c r="D738" s="11" t="str">
        <f>("622454602977")</f>
        <v>622454602977</v>
      </c>
      <c r="E738" s="3"/>
      <c r="F738" s="8" t="s">
        <v>794</v>
      </c>
      <c r="G738" s="14">
        <v>1932.8393640391339</v>
      </c>
      <c r="H738" s="35">
        <v>45689</v>
      </c>
      <c r="I738" s="3">
        <v>22.63</v>
      </c>
      <c r="J738" s="3" t="s">
        <v>10</v>
      </c>
      <c r="K738" s="11" t="str">
        <f>("00622454602977")</f>
        <v>00622454602977</v>
      </c>
      <c r="L738" s="3">
        <v>1</v>
      </c>
      <c r="M738" s="3"/>
    </row>
    <row r="739" spans="1:13" x14ac:dyDescent="0.25">
      <c r="A739" s="3" t="s">
        <v>1371</v>
      </c>
      <c r="B739" s="10" t="s">
        <v>1351</v>
      </c>
      <c r="C739" s="3" t="str">
        <f>("294389")</f>
        <v>294389</v>
      </c>
      <c r="D739" s="11" t="str">
        <f>("622454602991")</f>
        <v>622454602991</v>
      </c>
      <c r="E739" s="3"/>
      <c r="F739" s="8" t="s">
        <v>795</v>
      </c>
      <c r="G739" s="14">
        <v>1424.8111330051686</v>
      </c>
      <c r="H739" s="35">
        <v>45689</v>
      </c>
      <c r="I739" s="3">
        <v>21.260999999999999</v>
      </c>
      <c r="J739" s="3" t="s">
        <v>10</v>
      </c>
      <c r="K739" s="11" t="str">
        <f>("00622454602991")</f>
        <v>00622454602991</v>
      </c>
      <c r="L739" s="3">
        <v>1</v>
      </c>
      <c r="M739" s="3"/>
    </row>
    <row r="740" spans="1:13" x14ac:dyDescent="0.25">
      <c r="A740" s="3" t="s">
        <v>1371</v>
      </c>
      <c r="B740" s="10" t="s">
        <v>1351</v>
      </c>
      <c r="C740" s="3" t="str">
        <f>("294391")</f>
        <v>294391</v>
      </c>
      <c r="D740" s="11" t="str">
        <f>("622454603011")</f>
        <v>622454603011</v>
      </c>
      <c r="E740" s="3"/>
      <c r="F740" s="8" t="s">
        <v>796</v>
      </c>
      <c r="G740" s="14">
        <v>1741.6107630201991</v>
      </c>
      <c r="H740" s="35">
        <v>45689</v>
      </c>
      <c r="I740" s="3">
        <v>26.568000000000001</v>
      </c>
      <c r="J740" s="3" t="s">
        <v>10</v>
      </c>
      <c r="K740" s="11" t="str">
        <f>("00622454603011")</f>
        <v>00622454603011</v>
      </c>
      <c r="L740" s="3">
        <v>1</v>
      </c>
      <c r="M740" s="3"/>
    </row>
    <row r="741" spans="1:13" x14ac:dyDescent="0.25">
      <c r="A741" s="3" t="s">
        <v>1371</v>
      </c>
      <c r="B741" s="10" t="s">
        <v>1351</v>
      </c>
      <c r="C741" s="3" t="str">
        <f>("294393")</f>
        <v>294393</v>
      </c>
      <c r="D741" s="11" t="str">
        <f>("622454603035")</f>
        <v>622454603035</v>
      </c>
      <c r="E741" s="3"/>
      <c r="F741" s="8" t="s">
        <v>797</v>
      </c>
      <c r="G741" s="14">
        <v>2116.417345013444</v>
      </c>
      <c r="H741" s="35">
        <v>45689</v>
      </c>
      <c r="I741" s="3">
        <v>32.615000000000002</v>
      </c>
      <c r="J741" s="3" t="s">
        <v>10</v>
      </c>
      <c r="K741" s="11" t="str">
        <f>("00622454603035")</f>
        <v>00622454603035</v>
      </c>
      <c r="L741" s="3">
        <v>1</v>
      </c>
      <c r="M741" s="3"/>
    </row>
    <row r="742" spans="1:13" x14ac:dyDescent="0.25">
      <c r="A742" s="3" t="s">
        <v>1371</v>
      </c>
      <c r="B742" s="10" t="s">
        <v>1351</v>
      </c>
      <c r="C742" s="3" t="str">
        <f>("294395")</f>
        <v>294395</v>
      </c>
      <c r="D742" s="11" t="str">
        <f>("622454603066")</f>
        <v>622454603066</v>
      </c>
      <c r="E742" s="3"/>
      <c r="F742" s="8" t="s">
        <v>798</v>
      </c>
      <c r="G742" s="14">
        <v>2456.5132360646785</v>
      </c>
      <c r="H742" s="35">
        <v>45689</v>
      </c>
      <c r="I742" s="3">
        <v>41.837000000000003</v>
      </c>
      <c r="J742" s="3" t="s">
        <v>10</v>
      </c>
      <c r="K742" s="11" t="str">
        <f>("00622454603066")</f>
        <v>00622454603066</v>
      </c>
      <c r="L742" s="3">
        <v>1</v>
      </c>
      <c r="M742" s="3"/>
    </row>
    <row r="743" spans="1:13" x14ac:dyDescent="0.25">
      <c r="A743" s="3" t="s">
        <v>1371</v>
      </c>
      <c r="B743" s="10" t="s">
        <v>1351</v>
      </c>
      <c r="C743" s="3" t="str">
        <f>("294397")</f>
        <v>294397</v>
      </c>
      <c r="D743" s="11" t="str">
        <f>("622454603080")</f>
        <v>622454603080</v>
      </c>
      <c r="E743" s="3"/>
      <c r="F743" s="8" t="s">
        <v>799</v>
      </c>
      <c r="G743" s="14">
        <v>2897.3709911119963</v>
      </c>
      <c r="H743" s="35">
        <v>45689</v>
      </c>
      <c r="I743" s="3">
        <v>27.686</v>
      </c>
      <c r="J743" s="3" t="s">
        <v>10</v>
      </c>
      <c r="K743" s="11" t="str">
        <f>("00622454603080")</f>
        <v>00622454603080</v>
      </c>
      <c r="L743" s="3">
        <v>1</v>
      </c>
      <c r="M743" s="3"/>
    </row>
    <row r="744" spans="1:13" x14ac:dyDescent="0.25">
      <c r="A744" s="3" t="s">
        <v>1371</v>
      </c>
      <c r="B744" s="10" t="s">
        <v>1351</v>
      </c>
      <c r="C744" s="3" t="str">
        <f>("294399")</f>
        <v>294399</v>
      </c>
      <c r="D744" s="11" t="str">
        <f>("622454603103")</f>
        <v>622454603103</v>
      </c>
      <c r="E744" s="3"/>
      <c r="F744" s="8" t="s">
        <v>800</v>
      </c>
      <c r="G744" s="14">
        <v>3259.0903388166876</v>
      </c>
      <c r="H744" s="35">
        <v>45689</v>
      </c>
      <c r="I744" s="3">
        <v>31.78</v>
      </c>
      <c r="J744" s="3" t="s">
        <v>10</v>
      </c>
      <c r="K744" s="11" t="str">
        <f>("00622454603103")</f>
        <v>00622454603103</v>
      </c>
      <c r="L744" s="3">
        <v>1</v>
      </c>
      <c r="M744" s="3"/>
    </row>
    <row r="745" spans="1:13" x14ac:dyDescent="0.25">
      <c r="A745" s="3" t="s">
        <v>1371</v>
      </c>
      <c r="B745" s="10" t="s">
        <v>1351</v>
      </c>
      <c r="C745" s="3" t="str">
        <f>("294401")</f>
        <v>294401</v>
      </c>
      <c r="D745" s="11" t="str">
        <f>("622454603127")</f>
        <v>622454603127</v>
      </c>
      <c r="E745" s="3"/>
      <c r="F745" s="8" t="s">
        <v>801</v>
      </c>
      <c r="G745" s="14">
        <v>3754.7201373667599</v>
      </c>
      <c r="H745" s="35">
        <v>45689</v>
      </c>
      <c r="I745" s="3">
        <v>36.469000000000001</v>
      </c>
      <c r="J745" s="3" t="s">
        <v>10</v>
      </c>
      <c r="K745" s="11" t="str">
        <f>("00622454603127")</f>
        <v>00622454603127</v>
      </c>
      <c r="L745" s="3">
        <v>1</v>
      </c>
      <c r="M745" s="3"/>
    </row>
    <row r="746" spans="1:13" x14ac:dyDescent="0.25">
      <c r="A746" s="3" t="s">
        <v>1371</v>
      </c>
      <c r="B746" s="10" t="s">
        <v>1351</v>
      </c>
      <c r="C746" s="3" t="str">
        <f>("294403")</f>
        <v>294403</v>
      </c>
      <c r="D746" s="11" t="str">
        <f>("622454603158")</f>
        <v>622454603158</v>
      </c>
      <c r="E746" s="3"/>
      <c r="F746" s="8" t="s">
        <v>802</v>
      </c>
      <c r="G746" s="14">
        <v>4266.2415775529334</v>
      </c>
      <c r="H746" s="35">
        <v>45689</v>
      </c>
      <c r="I746" s="3">
        <v>43.341000000000001</v>
      </c>
      <c r="J746" s="3" t="s">
        <v>10</v>
      </c>
      <c r="K746" s="11" t="str">
        <f>("00622454603158")</f>
        <v>00622454603158</v>
      </c>
      <c r="L746" s="3">
        <v>1</v>
      </c>
      <c r="M746" s="3"/>
    </row>
    <row r="747" spans="1:13" x14ac:dyDescent="0.25">
      <c r="A747" s="3" t="s">
        <v>1371</v>
      </c>
      <c r="B747" s="10" t="s">
        <v>1351</v>
      </c>
      <c r="C747" s="3" t="str">
        <f>("294405")</f>
        <v>294405</v>
      </c>
      <c r="D747" s="11" t="str">
        <f>("622454603219")</f>
        <v>622454603219</v>
      </c>
      <c r="E747" s="3"/>
      <c r="F747" s="8" t="s">
        <v>803</v>
      </c>
      <c r="G747" s="14">
        <v>4513.4968253616826</v>
      </c>
      <c r="H747" s="35">
        <v>45689</v>
      </c>
      <c r="I747" s="3">
        <v>50.398000000000003</v>
      </c>
      <c r="J747" s="3" t="s">
        <v>10</v>
      </c>
      <c r="K747" s="11" t="str">
        <f>("00622454603219")</f>
        <v>00622454603219</v>
      </c>
      <c r="L747" s="3">
        <v>1</v>
      </c>
      <c r="M747" s="3"/>
    </row>
    <row r="748" spans="1:13" x14ac:dyDescent="0.25">
      <c r="A748" s="3" t="s">
        <v>1371</v>
      </c>
      <c r="B748" s="10" t="s">
        <v>1351</v>
      </c>
      <c r="C748" s="3" t="str">
        <f>("294408")</f>
        <v>294408</v>
      </c>
      <c r="D748" s="11" t="str">
        <f>("622454603257")</f>
        <v>622454603257</v>
      </c>
      <c r="E748" s="3"/>
      <c r="F748" s="8" t="s">
        <v>804</v>
      </c>
      <c r="G748" s="14">
        <v>3669.8622150390033</v>
      </c>
      <c r="H748" s="35">
        <v>45689</v>
      </c>
      <c r="I748" s="3">
        <v>39.042000000000002</v>
      </c>
      <c r="J748" s="3" t="s">
        <v>10</v>
      </c>
      <c r="K748" s="11" t="str">
        <f>("00622454603257")</f>
        <v>00622454603257</v>
      </c>
      <c r="L748" s="3">
        <v>1</v>
      </c>
      <c r="M748" s="3"/>
    </row>
    <row r="749" spans="1:13" x14ac:dyDescent="0.25">
      <c r="A749" s="3" t="s">
        <v>1371</v>
      </c>
      <c r="B749" s="10" t="s">
        <v>1351</v>
      </c>
      <c r="C749" s="3" t="str">
        <f>("294410")</f>
        <v>294410</v>
      </c>
      <c r="D749" s="11" t="str">
        <f>("622454603271")</f>
        <v>622454603271</v>
      </c>
      <c r="E749" s="3"/>
      <c r="F749" s="8" t="s">
        <v>805</v>
      </c>
      <c r="G749" s="14">
        <v>3969.1834992607673</v>
      </c>
      <c r="H749" s="35">
        <v>45689</v>
      </c>
      <c r="I749" s="3">
        <v>43.804000000000002</v>
      </c>
      <c r="J749" s="3" t="s">
        <v>10</v>
      </c>
      <c r="K749" s="11" t="str">
        <f>("00622454603271")</f>
        <v>00622454603271</v>
      </c>
      <c r="L749" s="3">
        <v>1</v>
      </c>
      <c r="M749" s="3"/>
    </row>
    <row r="750" spans="1:13" x14ac:dyDescent="0.25">
      <c r="A750" s="3" t="s">
        <v>1371</v>
      </c>
      <c r="B750" s="10" t="s">
        <v>1351</v>
      </c>
      <c r="C750" s="3" t="str">
        <f>("294412")</f>
        <v>294412</v>
      </c>
      <c r="D750" s="11" t="str">
        <f>("622454603295")</f>
        <v>622454603295</v>
      </c>
      <c r="E750" s="3"/>
      <c r="F750" s="8" t="s">
        <v>806</v>
      </c>
      <c r="G750" s="14">
        <v>4649.6827821688894</v>
      </c>
      <c r="H750" s="35">
        <v>45689</v>
      </c>
      <c r="I750" s="3">
        <v>49.122999999999998</v>
      </c>
      <c r="J750" s="3" t="s">
        <v>10</v>
      </c>
      <c r="K750" s="11" t="str">
        <f>("00622454603295")</f>
        <v>00622454603295</v>
      </c>
      <c r="L750" s="3">
        <v>1</v>
      </c>
      <c r="M750" s="3"/>
    </row>
    <row r="751" spans="1:13" x14ac:dyDescent="0.25">
      <c r="A751" s="3" t="s">
        <v>1371</v>
      </c>
      <c r="B751" s="10" t="s">
        <v>1351</v>
      </c>
      <c r="C751" s="3" t="str">
        <f>("294414")</f>
        <v>294414</v>
      </c>
      <c r="D751" s="11" t="str">
        <f>("622454603318")</f>
        <v>622454603318</v>
      </c>
      <c r="E751" s="3"/>
      <c r="F751" s="8" t="s">
        <v>807</v>
      </c>
      <c r="G751" s="14">
        <v>5538.6799113413663</v>
      </c>
      <c r="H751" s="35">
        <v>45689</v>
      </c>
      <c r="I751" s="3">
        <v>56.625999999999998</v>
      </c>
      <c r="J751" s="3" t="s">
        <v>10</v>
      </c>
      <c r="K751" s="11" t="str">
        <f>("00622454603318")</f>
        <v>00622454603318</v>
      </c>
      <c r="L751" s="3">
        <v>1</v>
      </c>
      <c r="M751" s="3"/>
    </row>
    <row r="752" spans="1:13" x14ac:dyDescent="0.25">
      <c r="A752" s="3" t="s">
        <v>1371</v>
      </c>
      <c r="B752" s="10" t="s">
        <v>1351</v>
      </c>
      <c r="C752" s="3" t="str">
        <f>("294416")</f>
        <v>294416</v>
      </c>
      <c r="D752" s="11" t="str">
        <f>("622454603332")</f>
        <v>622454603332</v>
      </c>
      <c r="E752" s="3"/>
      <c r="F752" s="8" t="s">
        <v>808</v>
      </c>
      <c r="G752" s="14">
        <v>6365.2666769986927</v>
      </c>
      <c r="H752" s="35">
        <v>45689</v>
      </c>
      <c r="I752" s="3">
        <v>70.995000000000005</v>
      </c>
      <c r="J752" s="3" t="s">
        <v>10</v>
      </c>
      <c r="K752" s="11" t="str">
        <f>("00622454603332")</f>
        <v>00622454603332</v>
      </c>
      <c r="L752" s="3">
        <v>1</v>
      </c>
      <c r="M752" s="3"/>
    </row>
    <row r="753" spans="1:13" x14ac:dyDescent="0.25">
      <c r="A753" s="3" t="s">
        <v>1371</v>
      </c>
      <c r="B753" s="10" t="s">
        <v>1351</v>
      </c>
      <c r="C753" s="3" t="str">
        <f>("294418")</f>
        <v>294418</v>
      </c>
      <c r="D753" s="11" t="str">
        <f>("622454603356")</f>
        <v>622454603356</v>
      </c>
      <c r="E753" s="3"/>
      <c r="F753" s="8" t="s">
        <v>809</v>
      </c>
      <c r="G753" s="14">
        <v>6683.5792109775311</v>
      </c>
      <c r="H753" s="35">
        <v>45689</v>
      </c>
      <c r="I753" s="3">
        <v>72.62</v>
      </c>
      <c r="J753" s="3" t="s">
        <v>10</v>
      </c>
      <c r="K753" s="11" t="str">
        <f>("00622454603356")</f>
        <v>00622454603356</v>
      </c>
      <c r="L753" s="3">
        <v>1</v>
      </c>
      <c r="M753" s="3"/>
    </row>
    <row r="754" spans="1:13" x14ac:dyDescent="0.25">
      <c r="A754" s="3" t="s">
        <v>1371</v>
      </c>
      <c r="B754" s="10" t="s">
        <v>1351</v>
      </c>
      <c r="C754" s="3" t="str">
        <f>("294420")</f>
        <v>294420</v>
      </c>
      <c r="D754" s="11" t="str">
        <f>("622454603387")</f>
        <v>622454603387</v>
      </c>
      <c r="E754" s="3"/>
      <c r="F754" s="8" t="s">
        <v>810</v>
      </c>
      <c r="G754" s="14">
        <v>3979.0973252349918</v>
      </c>
      <c r="H754" s="35">
        <v>45689</v>
      </c>
      <c r="I754" s="3">
        <v>53.167000000000002</v>
      </c>
      <c r="J754" s="3" t="s">
        <v>10</v>
      </c>
      <c r="K754" s="11" t="str">
        <f>("00622454603387")</f>
        <v>00622454603387</v>
      </c>
      <c r="L754" s="3">
        <v>1</v>
      </c>
      <c r="M754" s="3"/>
    </row>
    <row r="755" spans="1:13" x14ac:dyDescent="0.25">
      <c r="A755" s="3" t="s">
        <v>1371</v>
      </c>
      <c r="B755" s="10" t="s">
        <v>1351</v>
      </c>
      <c r="C755" s="3" t="str">
        <f>("294422")</f>
        <v>294422</v>
      </c>
      <c r="D755" s="11" t="str">
        <f>("622454603400")</f>
        <v>622454603400</v>
      </c>
      <c r="E755" s="3"/>
      <c r="F755" s="8" t="s">
        <v>811</v>
      </c>
      <c r="G755" s="14">
        <v>5610.155398607144</v>
      </c>
      <c r="H755" s="35">
        <v>45689</v>
      </c>
      <c r="I755" s="3">
        <v>58.901000000000003</v>
      </c>
      <c r="J755" s="3" t="s">
        <v>10</v>
      </c>
      <c r="K755" s="11" t="str">
        <f>("00622454603400")</f>
        <v>00622454603400</v>
      </c>
      <c r="L755" s="3">
        <v>1</v>
      </c>
      <c r="M755" s="3"/>
    </row>
    <row r="756" spans="1:13" x14ac:dyDescent="0.25">
      <c r="A756" s="3" t="s">
        <v>1371</v>
      </c>
      <c r="B756" s="10" t="s">
        <v>1351</v>
      </c>
      <c r="C756" s="3" t="str">
        <f>("294424")</f>
        <v>294424</v>
      </c>
      <c r="D756" s="11" t="str">
        <f>("622454603424")</f>
        <v>622454603424</v>
      </c>
      <c r="E756" s="3"/>
      <c r="F756" s="8" t="s">
        <v>812</v>
      </c>
      <c r="G756" s="14">
        <v>6356.1523531191642</v>
      </c>
      <c r="H756" s="35">
        <v>45689</v>
      </c>
      <c r="I756" s="3">
        <v>64.954999999999998</v>
      </c>
      <c r="J756" s="3" t="s">
        <v>10</v>
      </c>
      <c r="K756" s="11" t="str">
        <f>("00622454603424")</f>
        <v>00622454603424</v>
      </c>
      <c r="L756" s="3">
        <v>1</v>
      </c>
      <c r="M756" s="3"/>
    </row>
    <row r="757" spans="1:13" x14ac:dyDescent="0.25">
      <c r="A757" s="3" t="s">
        <v>1371</v>
      </c>
      <c r="B757" s="10" t="s">
        <v>1351</v>
      </c>
      <c r="C757" s="3" t="str">
        <f>("294426")</f>
        <v>294426</v>
      </c>
      <c r="D757" s="11" t="str">
        <f>("622454603448")</f>
        <v>622454603448</v>
      </c>
      <c r="E757" s="3"/>
      <c r="F757" s="8" t="s">
        <v>813</v>
      </c>
      <c r="G757" s="14">
        <v>6874.5249112552665</v>
      </c>
      <c r="H757" s="35">
        <v>45689</v>
      </c>
      <c r="I757" s="3">
        <v>72.953000000000003</v>
      </c>
      <c r="J757" s="3" t="s">
        <v>10</v>
      </c>
      <c r="K757" s="11" t="str">
        <f>("00622454603448")</f>
        <v>00622454603448</v>
      </c>
      <c r="L757" s="3">
        <v>1</v>
      </c>
      <c r="M757" s="3"/>
    </row>
    <row r="758" spans="1:13" x14ac:dyDescent="0.25">
      <c r="A758" s="3" t="s">
        <v>1371</v>
      </c>
      <c r="B758" s="10" t="s">
        <v>1351</v>
      </c>
      <c r="C758" s="3" t="str">
        <f>("294428")</f>
        <v>294428</v>
      </c>
      <c r="D758" s="11" t="str">
        <f>("622454603462")</f>
        <v>622454603462</v>
      </c>
      <c r="E758" s="3"/>
      <c r="F758" s="8" t="s">
        <v>814</v>
      </c>
      <c r="G758" s="14">
        <v>7309.0973498350559</v>
      </c>
      <c r="H758" s="35">
        <v>45689</v>
      </c>
      <c r="I758" s="3">
        <v>85.12</v>
      </c>
      <c r="J758" s="3" t="s">
        <v>10</v>
      </c>
      <c r="K758" s="11" t="str">
        <f>("00622454603462")</f>
        <v>00622454603462</v>
      </c>
      <c r="L758" s="3">
        <v>1</v>
      </c>
      <c r="M758" s="3"/>
    </row>
    <row r="759" spans="1:13" x14ac:dyDescent="0.25">
      <c r="A759" s="3" t="s">
        <v>1371</v>
      </c>
      <c r="B759" s="10" t="s">
        <v>1351</v>
      </c>
      <c r="C759" s="3" t="str">
        <f>("294430")</f>
        <v>294430</v>
      </c>
      <c r="D759" s="11" t="str">
        <f>("622454603486")</f>
        <v>622454603486</v>
      </c>
      <c r="E759" s="3"/>
      <c r="F759" s="8" t="s">
        <v>815</v>
      </c>
      <c r="G759" s="14">
        <v>7702.1202795551326</v>
      </c>
      <c r="H759" s="35">
        <v>45689</v>
      </c>
      <c r="I759" s="3">
        <v>90.4</v>
      </c>
      <c r="J759" s="3" t="s">
        <v>10</v>
      </c>
      <c r="K759" s="11" t="str">
        <f>("00622454603486")</f>
        <v>00622454603486</v>
      </c>
      <c r="L759" s="3">
        <v>1</v>
      </c>
      <c r="M759" s="3"/>
    </row>
    <row r="760" spans="1:13" x14ac:dyDescent="0.25">
      <c r="A760" s="3" t="s">
        <v>1371</v>
      </c>
      <c r="B760" s="10" t="s">
        <v>1351</v>
      </c>
      <c r="C760" s="3" t="str">
        <f>("294432")</f>
        <v>294432</v>
      </c>
      <c r="D760" s="11" t="str">
        <f>("622454603509")</f>
        <v>622454603509</v>
      </c>
      <c r="E760" s="3"/>
      <c r="F760" s="8" t="s">
        <v>816</v>
      </c>
      <c r="G760" s="14">
        <v>8939.0976204357648</v>
      </c>
      <c r="H760" s="35">
        <v>45689</v>
      </c>
      <c r="I760" s="3">
        <v>103.139</v>
      </c>
      <c r="J760" s="3" t="s">
        <v>10</v>
      </c>
      <c r="K760" s="11" t="str">
        <f>("00622454603509")</f>
        <v>00622454603509</v>
      </c>
      <c r="L760" s="3">
        <v>1</v>
      </c>
      <c r="M760" s="3"/>
    </row>
    <row r="761" spans="1:13" x14ac:dyDescent="0.25">
      <c r="A761" s="3" t="s">
        <v>1371</v>
      </c>
      <c r="B761" s="10" t="s">
        <v>1351</v>
      </c>
      <c r="C761" s="3" t="str">
        <f>("294434")</f>
        <v>294434</v>
      </c>
      <c r="D761" s="11" t="str">
        <f>("622454603523")</f>
        <v>622454603523</v>
      </c>
      <c r="E761" s="3"/>
      <c r="F761" s="8" t="s">
        <v>817</v>
      </c>
      <c r="G761" s="14">
        <v>7025.409406572644</v>
      </c>
      <c r="H761" s="35">
        <v>45689</v>
      </c>
      <c r="I761" s="3">
        <v>66.489000000000004</v>
      </c>
      <c r="J761" s="3" t="s">
        <v>10</v>
      </c>
      <c r="K761" s="11" t="str">
        <f>("00622454603523")</f>
        <v>00622454603523</v>
      </c>
      <c r="L761" s="3">
        <v>1</v>
      </c>
      <c r="M761" s="3"/>
    </row>
    <row r="762" spans="1:13" x14ac:dyDescent="0.25">
      <c r="A762" s="3" t="s">
        <v>1371</v>
      </c>
      <c r="B762" s="10" t="s">
        <v>1351</v>
      </c>
      <c r="C762" s="3" t="str">
        <f>("294436")</f>
        <v>294436</v>
      </c>
      <c r="D762" s="11" t="str">
        <f>("622454603547")</f>
        <v>622454603547</v>
      </c>
      <c r="E762" s="3"/>
      <c r="F762" s="8" t="s">
        <v>818</v>
      </c>
      <c r="G762" s="14">
        <v>7295.6534146119448</v>
      </c>
      <c r="H762" s="35">
        <v>45689</v>
      </c>
      <c r="I762" s="3">
        <v>72.873999999999995</v>
      </c>
      <c r="J762" s="3" t="s">
        <v>10</v>
      </c>
      <c r="K762" s="11" t="str">
        <f>("00622454603547")</f>
        <v>00622454603547</v>
      </c>
      <c r="L762" s="3">
        <v>1</v>
      </c>
      <c r="M762" s="3"/>
    </row>
    <row r="763" spans="1:13" x14ac:dyDescent="0.25">
      <c r="A763" s="3" t="s">
        <v>1371</v>
      </c>
      <c r="B763" s="10" t="s">
        <v>1351</v>
      </c>
      <c r="C763" s="3" t="str">
        <f>("294438")</f>
        <v>294438</v>
      </c>
      <c r="D763" s="11" t="str">
        <f>("622454603561")</f>
        <v>622454603561</v>
      </c>
      <c r="E763" s="3"/>
      <c r="F763" s="8" t="s">
        <v>819</v>
      </c>
      <c r="G763" s="14">
        <v>9063.4017461125732</v>
      </c>
      <c r="H763" s="35">
        <v>45689</v>
      </c>
      <c r="I763" s="3">
        <v>79.394999999999996</v>
      </c>
      <c r="J763" s="3" t="s">
        <v>10</v>
      </c>
      <c r="K763" s="11" t="str">
        <f>("00622454603561")</f>
        <v>00622454603561</v>
      </c>
      <c r="L763" s="3">
        <v>1</v>
      </c>
      <c r="M763" s="3"/>
    </row>
    <row r="764" spans="1:13" x14ac:dyDescent="0.25">
      <c r="A764" s="3" t="s">
        <v>1371</v>
      </c>
      <c r="B764" s="10" t="s">
        <v>1351</v>
      </c>
      <c r="C764" s="3" t="str">
        <f>("294440")</f>
        <v>294440</v>
      </c>
      <c r="D764" s="11" t="str">
        <f>("622454603585")</f>
        <v>622454603585</v>
      </c>
      <c r="E764" s="3"/>
      <c r="F764" s="8" t="s">
        <v>820</v>
      </c>
      <c r="G764" s="14">
        <v>10353.748926822187</v>
      </c>
      <c r="H764" s="35">
        <v>45689</v>
      </c>
      <c r="I764" s="3">
        <v>88.061000000000007</v>
      </c>
      <c r="J764" s="3" t="s">
        <v>10</v>
      </c>
      <c r="K764" s="11" t="str">
        <f>("00622454603585")</f>
        <v>00622454603585</v>
      </c>
      <c r="L764" s="3">
        <v>1</v>
      </c>
      <c r="M764" s="3"/>
    </row>
    <row r="765" spans="1:13" x14ac:dyDescent="0.25">
      <c r="A765" s="3" t="s">
        <v>1371</v>
      </c>
      <c r="B765" s="10" t="s">
        <v>1351</v>
      </c>
      <c r="C765" s="3" t="str">
        <f>("294442")</f>
        <v>294442</v>
      </c>
      <c r="D765" s="11" t="str">
        <f>("622454603608")</f>
        <v>622454603608</v>
      </c>
      <c r="E765" s="3"/>
      <c r="F765" s="8" t="s">
        <v>821</v>
      </c>
      <c r="G765" s="14">
        <v>10804.090006715818</v>
      </c>
      <c r="H765" s="35">
        <v>45689</v>
      </c>
      <c r="I765" s="3">
        <v>97.287999999999997</v>
      </c>
      <c r="J765" s="3" t="s">
        <v>10</v>
      </c>
      <c r="K765" s="11" t="str">
        <f>("00622454603608")</f>
        <v>00622454603608</v>
      </c>
      <c r="L765" s="3">
        <v>1</v>
      </c>
      <c r="M765" s="3"/>
    </row>
    <row r="766" spans="1:13" x14ac:dyDescent="0.25">
      <c r="A766" s="3" t="s">
        <v>1371</v>
      </c>
      <c r="B766" s="10" t="s">
        <v>1351</v>
      </c>
      <c r="C766" s="3" t="str">
        <f>("294444")</f>
        <v>294444</v>
      </c>
      <c r="D766" s="11" t="str">
        <f>("622454603622")</f>
        <v>622454603622</v>
      </c>
      <c r="E766" s="3"/>
      <c r="F766" s="8" t="s">
        <v>822</v>
      </c>
      <c r="G766" s="14">
        <v>11752.164190670179</v>
      </c>
      <c r="H766" s="35">
        <v>45689</v>
      </c>
      <c r="I766" s="3">
        <v>106.236</v>
      </c>
      <c r="J766" s="3" t="s">
        <v>10</v>
      </c>
      <c r="K766" s="11" t="str">
        <f>("00622454603622")</f>
        <v>00622454603622</v>
      </c>
      <c r="L766" s="3">
        <v>1</v>
      </c>
      <c r="M766" s="3"/>
    </row>
    <row r="767" spans="1:13" x14ac:dyDescent="0.25">
      <c r="A767" s="3" t="s">
        <v>1371</v>
      </c>
      <c r="B767" s="10" t="s">
        <v>1351</v>
      </c>
      <c r="C767" s="3" t="str">
        <f>("294446")</f>
        <v>294446</v>
      </c>
      <c r="D767" s="11" t="str">
        <f>("622454603646")</f>
        <v>622454603646</v>
      </c>
      <c r="E767" s="3"/>
      <c r="F767" s="8" t="s">
        <v>823</v>
      </c>
      <c r="G767" s="14">
        <v>13216.446127088851</v>
      </c>
      <c r="H767" s="35">
        <v>45689</v>
      </c>
      <c r="I767" s="3">
        <v>119.75700000000001</v>
      </c>
      <c r="J767" s="3" t="s">
        <v>10</v>
      </c>
      <c r="K767" s="11" t="str">
        <f>("00622454603646")</f>
        <v>00622454603646</v>
      </c>
      <c r="L767" s="3">
        <v>1</v>
      </c>
      <c r="M767" s="3"/>
    </row>
    <row r="768" spans="1:13" x14ac:dyDescent="0.25">
      <c r="A768" s="3" t="s">
        <v>1371</v>
      </c>
      <c r="B768" s="10" t="s">
        <v>1351</v>
      </c>
      <c r="C768" s="3" t="str">
        <f>("294448")</f>
        <v>294448</v>
      </c>
      <c r="D768" s="11" t="str">
        <f>("622454603660")</f>
        <v>622454603660</v>
      </c>
      <c r="E768" s="3"/>
      <c r="F768" s="8" t="s">
        <v>824</v>
      </c>
      <c r="G768" s="14">
        <v>14299.734565304561</v>
      </c>
      <c r="H768" s="35">
        <v>45689</v>
      </c>
      <c r="I768" s="3">
        <v>137.268</v>
      </c>
      <c r="J768" s="3" t="s">
        <v>10</v>
      </c>
      <c r="K768" s="11" t="str">
        <f>("00622454603660")</f>
        <v>00622454603660</v>
      </c>
      <c r="L768" s="3">
        <v>1</v>
      </c>
      <c r="M768" s="3"/>
    </row>
    <row r="769" spans="1:13" x14ac:dyDescent="0.25">
      <c r="A769" s="3" t="s">
        <v>1371</v>
      </c>
      <c r="B769" s="10" t="s">
        <v>1351</v>
      </c>
      <c r="C769" s="3" t="str">
        <f>("294450")</f>
        <v>294450</v>
      </c>
      <c r="D769" s="11" t="str">
        <f>("622454603684")</f>
        <v>622454603684</v>
      </c>
      <c r="E769" s="3"/>
      <c r="F769" s="8" t="s">
        <v>825</v>
      </c>
      <c r="G769" s="14">
        <v>8979.9583274908164</v>
      </c>
      <c r="H769" s="35">
        <v>45689</v>
      </c>
      <c r="I769" s="3">
        <v>104.88500000000001</v>
      </c>
      <c r="J769" s="3" t="s">
        <v>10</v>
      </c>
      <c r="K769" s="11" t="str">
        <f>("00622454603684")</f>
        <v>00622454603684</v>
      </c>
      <c r="L769" s="3">
        <v>1</v>
      </c>
      <c r="M769" s="3"/>
    </row>
    <row r="770" spans="1:13" x14ac:dyDescent="0.25">
      <c r="A770" s="3" t="s">
        <v>1371</v>
      </c>
      <c r="B770" s="10" t="s">
        <v>1351</v>
      </c>
      <c r="C770" s="3" t="str">
        <f>("294452")</f>
        <v>294452</v>
      </c>
      <c r="D770" s="11" t="str">
        <f>("622454603707")</f>
        <v>622454603707</v>
      </c>
      <c r="E770" s="3"/>
      <c r="F770" s="8" t="s">
        <v>826</v>
      </c>
      <c r="G770" s="14">
        <v>10661.754033795567</v>
      </c>
      <c r="H770" s="35">
        <v>45689</v>
      </c>
      <c r="I770" s="3">
        <v>112.678</v>
      </c>
      <c r="J770" s="3" t="s">
        <v>10</v>
      </c>
      <c r="K770" s="11" t="str">
        <f>("00622454603707")</f>
        <v>00622454603707</v>
      </c>
      <c r="L770" s="3">
        <v>1</v>
      </c>
      <c r="M770" s="3"/>
    </row>
    <row r="771" spans="1:13" x14ac:dyDescent="0.25">
      <c r="A771" s="3" t="s">
        <v>1371</v>
      </c>
      <c r="B771" s="10" t="s">
        <v>1351</v>
      </c>
      <c r="C771" s="3" t="str">
        <f>("294454")</f>
        <v>294454</v>
      </c>
      <c r="D771" s="11" t="str">
        <f>("622454603721")</f>
        <v>622454603721</v>
      </c>
      <c r="E771" s="3"/>
      <c r="F771" s="8" t="s">
        <v>827</v>
      </c>
      <c r="G771" s="14">
        <v>11349.830136554956</v>
      </c>
      <c r="H771" s="35">
        <v>45689</v>
      </c>
      <c r="I771" s="3">
        <v>120.86199999999999</v>
      </c>
      <c r="J771" s="3" t="s">
        <v>10</v>
      </c>
      <c r="K771" s="11" t="str">
        <f>("00622454603721")</f>
        <v>00622454603721</v>
      </c>
      <c r="L771" s="3">
        <v>1</v>
      </c>
      <c r="M771" s="3"/>
    </row>
    <row r="772" spans="1:13" x14ac:dyDescent="0.25">
      <c r="A772" s="3" t="s">
        <v>1371</v>
      </c>
      <c r="B772" s="10" t="s">
        <v>1351</v>
      </c>
      <c r="C772" s="3" t="str">
        <f>("294456")</f>
        <v>294456</v>
      </c>
      <c r="D772" s="11" t="str">
        <f>("622454603745")</f>
        <v>622454603745</v>
      </c>
      <c r="E772" s="3"/>
      <c r="F772" s="8" t="s">
        <v>828</v>
      </c>
      <c r="G772" s="14">
        <v>12133.329889324308</v>
      </c>
      <c r="H772" s="35">
        <v>45689</v>
      </c>
      <c r="I772" s="3">
        <v>131.226</v>
      </c>
      <c r="J772" s="3" t="s">
        <v>10</v>
      </c>
      <c r="K772" s="11" t="str">
        <f>("00622454603745")</f>
        <v>00622454603745</v>
      </c>
      <c r="L772" s="3">
        <v>1</v>
      </c>
      <c r="M772" s="3"/>
    </row>
    <row r="773" spans="1:13" x14ac:dyDescent="0.25">
      <c r="A773" s="3" t="s">
        <v>1371</v>
      </c>
      <c r="B773" s="10" t="s">
        <v>1351</v>
      </c>
      <c r="C773" s="3" t="str">
        <f>("294458")</f>
        <v>294458</v>
      </c>
      <c r="D773" s="11" t="str">
        <f>("622454603769")</f>
        <v>622454603769</v>
      </c>
      <c r="E773" s="3"/>
      <c r="F773" s="8" t="s">
        <v>829</v>
      </c>
      <c r="G773" s="14">
        <v>13362.496709741379</v>
      </c>
      <c r="H773" s="35">
        <v>45689</v>
      </c>
      <c r="I773" s="3">
        <v>141.572</v>
      </c>
      <c r="J773" s="3" t="s">
        <v>10</v>
      </c>
      <c r="K773" s="11" t="str">
        <f>("00622454603769")</f>
        <v>00622454603769</v>
      </c>
      <c r="L773" s="3">
        <v>1</v>
      </c>
      <c r="M773" s="3"/>
    </row>
    <row r="774" spans="1:13" x14ac:dyDescent="0.25">
      <c r="A774" s="3" t="s">
        <v>1371</v>
      </c>
      <c r="B774" s="10" t="s">
        <v>1351</v>
      </c>
      <c r="C774" s="3" t="str">
        <f>("294460")</f>
        <v>294460</v>
      </c>
      <c r="D774" s="11" t="str">
        <f>("622454603783")</f>
        <v>622454603783</v>
      </c>
      <c r="E774" s="3"/>
      <c r="F774" s="8" t="s">
        <v>830</v>
      </c>
      <c r="G774" s="14">
        <v>13743.711608524414</v>
      </c>
      <c r="H774" s="35">
        <v>45689</v>
      </c>
      <c r="I774" s="3">
        <v>151.768</v>
      </c>
      <c r="J774" s="3" t="s">
        <v>10</v>
      </c>
      <c r="K774" s="11" t="str">
        <f>("00622454603783")</f>
        <v>00622454603783</v>
      </c>
      <c r="L774" s="3">
        <v>1</v>
      </c>
      <c r="M774" s="3"/>
    </row>
    <row r="775" spans="1:13" x14ac:dyDescent="0.25">
      <c r="A775" s="3" t="s">
        <v>1371</v>
      </c>
      <c r="B775" s="10" t="s">
        <v>1351</v>
      </c>
      <c r="C775" s="3" t="str">
        <f>("294461")</f>
        <v>294461</v>
      </c>
      <c r="D775" s="11" t="str">
        <f>("622454603790")</f>
        <v>622454603790</v>
      </c>
      <c r="E775" s="3"/>
      <c r="F775" s="8" t="s">
        <v>831</v>
      </c>
      <c r="G775" s="14">
        <v>15232.335308718506</v>
      </c>
      <c r="H775" s="35">
        <v>45689</v>
      </c>
      <c r="I775" s="3">
        <v>166.64099999999999</v>
      </c>
      <c r="J775" s="3" t="s">
        <v>10</v>
      </c>
      <c r="K775" s="11" t="str">
        <f>("00622454603790")</f>
        <v>00622454603790</v>
      </c>
      <c r="L775" s="3">
        <v>1</v>
      </c>
      <c r="M775" s="3"/>
    </row>
    <row r="776" spans="1:13" x14ac:dyDescent="0.25">
      <c r="A776" s="3" t="s">
        <v>1371</v>
      </c>
      <c r="B776" s="10" t="s">
        <v>1351</v>
      </c>
      <c r="C776" s="3" t="str">
        <f>("294463")</f>
        <v>294463</v>
      </c>
      <c r="D776" s="11" t="str">
        <f>("622454603813")</f>
        <v>622454603813</v>
      </c>
      <c r="E776" s="3"/>
      <c r="F776" s="8" t="s">
        <v>832</v>
      </c>
      <c r="G776" s="14">
        <v>17011.903971188407</v>
      </c>
      <c r="H776" s="35">
        <v>45689</v>
      </c>
      <c r="I776" s="3">
        <v>185.69300000000001</v>
      </c>
      <c r="J776" s="3" t="s">
        <v>10</v>
      </c>
      <c r="K776" s="11" t="str">
        <f>("00622454603813")</f>
        <v>00622454603813</v>
      </c>
      <c r="L776" s="3">
        <v>1</v>
      </c>
      <c r="M776" s="3"/>
    </row>
    <row r="777" spans="1:13" x14ac:dyDescent="0.25">
      <c r="A777" s="3" t="s">
        <v>1371</v>
      </c>
      <c r="B777" s="10" t="s">
        <v>1351</v>
      </c>
      <c r="C777" s="3" t="str">
        <f>("294465")</f>
        <v>294465</v>
      </c>
      <c r="D777" s="11" t="str">
        <f>("622454603837")</f>
        <v>622454603837</v>
      </c>
      <c r="E777" s="3"/>
      <c r="F777" s="8" t="s">
        <v>833</v>
      </c>
      <c r="G777" s="14">
        <v>20598.48266802459</v>
      </c>
      <c r="H777" s="35">
        <v>45689</v>
      </c>
      <c r="I777" s="3">
        <v>204.029</v>
      </c>
      <c r="J777" s="3" t="s">
        <v>10</v>
      </c>
      <c r="K777" s="11" t="str">
        <f>("00622454603837")</f>
        <v>00622454603837</v>
      </c>
      <c r="L777" s="3">
        <v>1</v>
      </c>
      <c r="M777" s="3"/>
    </row>
    <row r="778" spans="1:13" x14ac:dyDescent="0.25">
      <c r="A778" s="3" t="s">
        <v>1371</v>
      </c>
      <c r="B778" s="10" t="s">
        <v>1351</v>
      </c>
      <c r="C778" s="3" t="str">
        <f>("755007")</f>
        <v>755007</v>
      </c>
      <c r="D778" s="11" t="str">
        <f>("662671191960")</f>
        <v>662671191960</v>
      </c>
      <c r="E778" s="3" t="s">
        <v>834</v>
      </c>
      <c r="F778" s="8" t="s">
        <v>835</v>
      </c>
      <c r="G778" s="14">
        <v>102.45386734266799</v>
      </c>
      <c r="H778" s="35">
        <v>45689</v>
      </c>
      <c r="I778" s="3">
        <v>2.5999999999999999E-2</v>
      </c>
      <c r="J778" s="3" t="s">
        <v>3</v>
      </c>
      <c r="K778" s="11" t="str">
        <f>("10662671191967")</f>
        <v>10662671191967</v>
      </c>
      <c r="L778" s="3">
        <v>35</v>
      </c>
      <c r="M778" s="3">
        <v>2520</v>
      </c>
    </row>
    <row r="779" spans="1:13" x14ac:dyDescent="0.25">
      <c r="A779" s="3" t="s">
        <v>1371</v>
      </c>
      <c r="B779" s="10" t="s">
        <v>1351</v>
      </c>
      <c r="C779" s="3" t="str">
        <f>("755009")</f>
        <v>755009</v>
      </c>
      <c r="D779" s="11" t="str">
        <f>("662671191793")</f>
        <v>662671191793</v>
      </c>
      <c r="E779" s="3" t="s">
        <v>836</v>
      </c>
      <c r="F779" s="8" t="s">
        <v>837</v>
      </c>
      <c r="G779" s="14">
        <v>119.64185166660242</v>
      </c>
      <c r="H779" s="35">
        <v>45689</v>
      </c>
      <c r="I779" s="3">
        <v>0.41899999999999998</v>
      </c>
      <c r="J779" s="3" t="s">
        <v>3</v>
      </c>
      <c r="K779" s="11" t="str">
        <f>("10662671191790")</f>
        <v>10662671191790</v>
      </c>
      <c r="L779" s="3">
        <v>30</v>
      </c>
      <c r="M779" s="3">
        <v>1440</v>
      </c>
    </row>
    <row r="780" spans="1:13" x14ac:dyDescent="0.25">
      <c r="A780" s="3" t="s">
        <v>1371</v>
      </c>
      <c r="B780" s="10" t="s">
        <v>1351</v>
      </c>
      <c r="C780" s="3" t="str">
        <f>("755011")</f>
        <v>755011</v>
      </c>
      <c r="D780" s="11" t="str">
        <f>("662671191816")</f>
        <v>662671191816</v>
      </c>
      <c r="E780" s="3" t="s">
        <v>838</v>
      </c>
      <c r="F780" s="8" t="s">
        <v>839</v>
      </c>
      <c r="G780" s="14">
        <v>232.08907391883847</v>
      </c>
      <c r="H780" s="35">
        <v>45689</v>
      </c>
      <c r="I780" s="3">
        <v>1.0429999999999999</v>
      </c>
      <c r="J780" s="3" t="s">
        <v>3</v>
      </c>
      <c r="K780" s="11" t="str">
        <f>("10662671191813")</f>
        <v>10662671191813</v>
      </c>
      <c r="L780" s="3">
        <v>18</v>
      </c>
      <c r="M780" s="3">
        <v>576</v>
      </c>
    </row>
    <row r="781" spans="1:13" x14ac:dyDescent="0.25">
      <c r="A781" s="3" t="s">
        <v>1371</v>
      </c>
      <c r="B781" s="10" t="s">
        <v>1351</v>
      </c>
      <c r="C781" s="3" t="str">
        <f>("755013")</f>
        <v>755013</v>
      </c>
      <c r="D781" s="11" t="str">
        <f>("662671191458")</f>
        <v>662671191458</v>
      </c>
      <c r="E781" s="3" t="s">
        <v>840</v>
      </c>
      <c r="F781" s="8" t="s">
        <v>841</v>
      </c>
      <c r="G781" s="14">
        <v>412.77537800957623</v>
      </c>
      <c r="H781" s="35">
        <v>45689</v>
      </c>
      <c r="I781" s="3">
        <v>1.9470000000000001</v>
      </c>
      <c r="J781" s="3" t="s">
        <v>3</v>
      </c>
      <c r="K781" s="11" t="str">
        <f>("10662671191455")</f>
        <v>10662671191455</v>
      </c>
      <c r="L781" s="3">
        <v>15</v>
      </c>
      <c r="M781" s="3">
        <v>270</v>
      </c>
    </row>
    <row r="782" spans="1:13" x14ac:dyDescent="0.25">
      <c r="A782" s="3" t="s">
        <v>1371</v>
      </c>
      <c r="B782" s="10" t="s">
        <v>1351</v>
      </c>
      <c r="C782" s="3" t="str">
        <f>("755006")</f>
        <v>755006</v>
      </c>
      <c r="D782" s="11" t="str">
        <f>("662671191953")</f>
        <v>662671191953</v>
      </c>
      <c r="E782" s="3" t="s">
        <v>842</v>
      </c>
      <c r="F782" s="8" t="s">
        <v>843</v>
      </c>
      <c r="G782" s="14">
        <v>126.42619671518013</v>
      </c>
      <c r="H782" s="35">
        <v>45689</v>
      </c>
      <c r="I782" s="3">
        <v>0.313</v>
      </c>
      <c r="J782" s="3" t="s">
        <v>3</v>
      </c>
      <c r="K782" s="11" t="str">
        <f>("10662671191950")</f>
        <v>10662671191950</v>
      </c>
      <c r="L782" s="3">
        <v>30</v>
      </c>
      <c r="M782" s="3">
        <v>2160</v>
      </c>
    </row>
    <row r="783" spans="1:13" x14ac:dyDescent="0.25">
      <c r="A783" s="3" t="s">
        <v>1371</v>
      </c>
      <c r="B783" s="10" t="s">
        <v>1351</v>
      </c>
      <c r="C783" s="3" t="str">
        <f>("755008")</f>
        <v>755008</v>
      </c>
      <c r="D783" s="11" t="str">
        <f>("662671191809")</f>
        <v>662671191809</v>
      </c>
      <c r="E783" s="3" t="s">
        <v>844</v>
      </c>
      <c r="F783" s="8" t="s">
        <v>845</v>
      </c>
      <c r="G783" s="14">
        <v>146.63270173027439</v>
      </c>
      <c r="H783" s="35">
        <v>45689</v>
      </c>
      <c r="I783" s="3">
        <v>0.50700000000000001</v>
      </c>
      <c r="J783" s="3" t="s">
        <v>3</v>
      </c>
      <c r="K783" s="11" t="str">
        <f>("10662671191806")</f>
        <v>10662671191806</v>
      </c>
      <c r="L783" s="3">
        <v>20</v>
      </c>
      <c r="M783" s="3">
        <v>1440</v>
      </c>
    </row>
    <row r="784" spans="1:13" x14ac:dyDescent="0.25">
      <c r="A784" s="3" t="s">
        <v>1371</v>
      </c>
      <c r="B784" s="10" t="s">
        <v>1351</v>
      </c>
      <c r="C784" s="3" t="str">
        <f>("755010")</f>
        <v>755010</v>
      </c>
      <c r="D784" s="11" t="str">
        <f>("662671191823")</f>
        <v>662671191823</v>
      </c>
      <c r="E784" s="3" t="s">
        <v>846</v>
      </c>
      <c r="F784" s="8" t="s">
        <v>847</v>
      </c>
      <c r="G784" s="14">
        <v>280.15095676837376</v>
      </c>
      <c r="H784" s="35">
        <v>45689</v>
      </c>
      <c r="I784" s="3">
        <v>1.226</v>
      </c>
      <c r="J784" s="3" t="s">
        <v>3</v>
      </c>
      <c r="K784" s="11" t="str">
        <f>("10662671191820")</f>
        <v>10662671191820</v>
      </c>
      <c r="L784" s="3">
        <v>15</v>
      </c>
      <c r="M784" s="3">
        <v>480</v>
      </c>
    </row>
    <row r="785" spans="1:13" x14ac:dyDescent="0.25">
      <c r="A785" s="3" t="s">
        <v>1371</v>
      </c>
      <c r="B785" s="10" t="s">
        <v>1351</v>
      </c>
      <c r="C785" s="3" t="str">
        <f>("755012")</f>
        <v>755012</v>
      </c>
      <c r="D785" s="11" t="str">
        <f>("662671192462")</f>
        <v>662671192462</v>
      </c>
      <c r="E785" s="3" t="s">
        <v>848</v>
      </c>
      <c r="F785" s="8" t="s">
        <v>849</v>
      </c>
      <c r="G785" s="14">
        <v>483.93040944779074</v>
      </c>
      <c r="H785" s="35">
        <v>45689</v>
      </c>
      <c r="I785" s="3">
        <v>2.2879999999999998</v>
      </c>
      <c r="J785" s="3" t="s">
        <v>3</v>
      </c>
      <c r="K785" s="11" t="str">
        <f>("10662671192469")</f>
        <v>10662671192469</v>
      </c>
      <c r="L785" s="3">
        <v>15</v>
      </c>
      <c r="M785" s="3">
        <v>270</v>
      </c>
    </row>
    <row r="786" spans="1:13" x14ac:dyDescent="0.25">
      <c r="A786" s="3" t="s">
        <v>1371</v>
      </c>
      <c r="B786" s="10" t="s">
        <v>1351</v>
      </c>
      <c r="C786" s="3" t="str">
        <f>("755014")</f>
        <v>755014</v>
      </c>
      <c r="D786" s="11" t="str">
        <f>("662671190031")</f>
        <v>662671190031</v>
      </c>
      <c r="E786" s="3" t="s">
        <v>850</v>
      </c>
      <c r="F786" s="8" t="s">
        <v>851</v>
      </c>
      <c r="G786" s="14">
        <v>2312.641092833418</v>
      </c>
      <c r="H786" s="35">
        <v>45689</v>
      </c>
      <c r="I786" s="3">
        <v>5.9240000000000004</v>
      </c>
      <c r="J786" s="3" t="s">
        <v>3</v>
      </c>
      <c r="K786" s="11" t="str">
        <f>("10662671190038")</f>
        <v>10662671190038</v>
      </c>
      <c r="L786" s="3">
        <v>4</v>
      </c>
      <c r="M786" s="3">
        <v>72</v>
      </c>
    </row>
    <row r="787" spans="1:13" x14ac:dyDescent="0.25">
      <c r="A787" s="3" t="s">
        <v>1371</v>
      </c>
      <c r="B787" s="10" t="s">
        <v>1351</v>
      </c>
      <c r="C787" s="3" t="str">
        <f>("226102")</f>
        <v>226102</v>
      </c>
      <c r="D787" s="11" t="str">
        <f>("622454875715")</f>
        <v>622454875715</v>
      </c>
      <c r="E787" s="3" t="s">
        <v>852</v>
      </c>
      <c r="F787" s="8" t="s">
        <v>853</v>
      </c>
      <c r="G787" s="14">
        <v>4571.4177096440044</v>
      </c>
      <c r="H787" s="35">
        <v>45689</v>
      </c>
      <c r="I787" s="3">
        <v>17.030999999999999</v>
      </c>
      <c r="J787" s="3" t="s">
        <v>3</v>
      </c>
      <c r="K787" s="11" t="str">
        <f>("10622454875712")</f>
        <v>10622454875712</v>
      </c>
      <c r="L787" s="3">
        <v>1</v>
      </c>
      <c r="M787" s="3"/>
    </row>
    <row r="788" spans="1:13" x14ac:dyDescent="0.25">
      <c r="A788" s="3" t="s">
        <v>1371</v>
      </c>
      <c r="B788" s="10" t="s">
        <v>1351</v>
      </c>
      <c r="C788" s="3" t="str">
        <f>("295515")</f>
        <v>295515</v>
      </c>
      <c r="D788" s="11" t="str">
        <f>("622454614994")</f>
        <v>622454614994</v>
      </c>
      <c r="E788" s="3"/>
      <c r="F788" s="8" t="s">
        <v>854</v>
      </c>
      <c r="G788" s="14">
        <v>4154.2128840377563</v>
      </c>
      <c r="H788" s="35">
        <v>45689</v>
      </c>
      <c r="I788" s="3">
        <v>29.163</v>
      </c>
      <c r="J788" s="3" t="s">
        <v>10</v>
      </c>
      <c r="K788" s="11" t="str">
        <f>("10622454614991")</f>
        <v>10622454614991</v>
      </c>
      <c r="L788" s="3">
        <v>7</v>
      </c>
      <c r="M788" s="3"/>
    </row>
    <row r="789" spans="1:13" x14ac:dyDescent="0.25">
      <c r="A789" s="3" t="s">
        <v>1371</v>
      </c>
      <c r="B789" s="10" t="s">
        <v>1351</v>
      </c>
      <c r="C789" s="3" t="str">
        <f>("295516")</f>
        <v>295516</v>
      </c>
      <c r="D789" s="11" t="str">
        <f>("622454615007")</f>
        <v>622454615007</v>
      </c>
      <c r="E789" s="3"/>
      <c r="F789" s="8" t="s">
        <v>855</v>
      </c>
      <c r="G789" s="14">
        <v>4933.0509245934218</v>
      </c>
      <c r="H789" s="35">
        <v>45689</v>
      </c>
      <c r="I789" s="3">
        <v>45.316000000000003</v>
      </c>
      <c r="J789" s="3" t="s">
        <v>10</v>
      </c>
      <c r="K789" s="11" t="str">
        <f>("10622454615004")</f>
        <v>10622454615004</v>
      </c>
      <c r="L789" s="3">
        <v>5</v>
      </c>
      <c r="M789" s="3"/>
    </row>
    <row r="790" spans="1:13" x14ac:dyDescent="0.25">
      <c r="A790" s="3" t="s">
        <v>1371</v>
      </c>
      <c r="B790" s="10" t="s">
        <v>1351</v>
      </c>
      <c r="C790" s="3" t="str">
        <f>("295521")</f>
        <v>295521</v>
      </c>
      <c r="D790" s="11" t="str">
        <f>("622454615052")</f>
        <v>622454615052</v>
      </c>
      <c r="E790" s="3"/>
      <c r="F790" s="8" t="s">
        <v>856</v>
      </c>
      <c r="G790" s="14">
        <v>1927.1444491184564</v>
      </c>
      <c r="H790" s="35">
        <v>45689</v>
      </c>
      <c r="I790" s="3">
        <v>15.659000000000001</v>
      </c>
      <c r="J790" s="3" t="s">
        <v>10</v>
      </c>
      <c r="K790" s="11" t="str">
        <f>("10622454615059")</f>
        <v>10622454615059</v>
      </c>
      <c r="L790" s="3">
        <v>12</v>
      </c>
      <c r="M790" s="3"/>
    </row>
    <row r="791" spans="1:13" x14ac:dyDescent="0.25">
      <c r="A791" s="3" t="s">
        <v>1371</v>
      </c>
      <c r="B791" s="10" t="s">
        <v>1351</v>
      </c>
      <c r="C791" s="3" t="str">
        <f>("295522")</f>
        <v>295522</v>
      </c>
      <c r="D791" s="11" t="str">
        <f>("622454615069")</f>
        <v>622454615069</v>
      </c>
      <c r="E791" s="3"/>
      <c r="F791" s="8" t="s">
        <v>857</v>
      </c>
      <c r="G791" s="14">
        <v>2615.1344516522636</v>
      </c>
      <c r="H791" s="35">
        <v>45689</v>
      </c>
      <c r="I791" s="3">
        <v>18.088999999999999</v>
      </c>
      <c r="J791" s="3" t="s">
        <v>10</v>
      </c>
      <c r="K791" s="11" t="str">
        <f>("00622454615069")</f>
        <v>00622454615069</v>
      </c>
      <c r="L791" s="3">
        <v>1</v>
      </c>
      <c r="M791" s="3"/>
    </row>
    <row r="792" spans="1:13" x14ac:dyDescent="0.25">
      <c r="A792" s="3" t="s">
        <v>1371</v>
      </c>
      <c r="B792" s="10" t="s">
        <v>1351</v>
      </c>
      <c r="C792" s="3" t="str">
        <f>("295523")</f>
        <v>295523</v>
      </c>
      <c r="D792" s="11" t="str">
        <f>("622454615076")</f>
        <v>622454615076</v>
      </c>
      <c r="E792" s="3"/>
      <c r="F792" s="8" t="s">
        <v>858</v>
      </c>
      <c r="G792" s="14">
        <v>4072.2331692509033</v>
      </c>
      <c r="H792" s="35">
        <v>45689</v>
      </c>
      <c r="I792" s="3">
        <v>24.033000000000001</v>
      </c>
      <c r="J792" s="3" t="s">
        <v>10</v>
      </c>
      <c r="K792" s="11" t="str">
        <f>("10622454615073")</f>
        <v>10622454615073</v>
      </c>
      <c r="L792" s="3">
        <v>10</v>
      </c>
      <c r="M792" s="3"/>
    </row>
    <row r="793" spans="1:13" x14ac:dyDescent="0.25">
      <c r="A793" s="3" t="s">
        <v>1371</v>
      </c>
      <c r="B793" s="10" t="s">
        <v>1351</v>
      </c>
      <c r="C793" s="3" t="str">
        <f>("295524")</f>
        <v>295524</v>
      </c>
      <c r="D793" s="11" t="str">
        <f>("622454615083")</f>
        <v>622454615083</v>
      </c>
      <c r="E793" s="3"/>
      <c r="F793" s="8" t="s">
        <v>859</v>
      </c>
      <c r="G793" s="14">
        <v>2492.6753308093666</v>
      </c>
      <c r="H793" s="35">
        <v>45689</v>
      </c>
      <c r="I793" s="3">
        <v>21.779</v>
      </c>
      <c r="J793" s="3" t="s">
        <v>10</v>
      </c>
      <c r="K793" s="11" t="str">
        <f>("10622454615080")</f>
        <v>10622454615080</v>
      </c>
      <c r="L793" s="3">
        <v>8</v>
      </c>
      <c r="M793" s="3"/>
    </row>
    <row r="794" spans="1:13" x14ac:dyDescent="0.25">
      <c r="A794" s="3" t="s">
        <v>1371</v>
      </c>
      <c r="B794" s="10" t="s">
        <v>1351</v>
      </c>
      <c r="C794" s="3" t="str">
        <f>("295525")</f>
        <v>295525</v>
      </c>
      <c r="D794" s="11" t="str">
        <f>("622454615090")</f>
        <v>622454615090</v>
      </c>
      <c r="E794" s="3"/>
      <c r="F794" s="8" t="s">
        <v>860</v>
      </c>
      <c r="G794" s="14">
        <v>3200.8127861294997</v>
      </c>
      <c r="H794" s="35">
        <v>45689</v>
      </c>
      <c r="I794" s="3">
        <v>24.238</v>
      </c>
      <c r="J794" s="3" t="s">
        <v>10</v>
      </c>
      <c r="K794" s="11" t="str">
        <f>("10622454615097")</f>
        <v>10622454615097</v>
      </c>
      <c r="L794" s="3">
        <v>9</v>
      </c>
      <c r="M794" s="3"/>
    </row>
    <row r="795" spans="1:13" x14ac:dyDescent="0.25">
      <c r="A795" s="3" t="s">
        <v>1371</v>
      </c>
      <c r="B795" s="10" t="s">
        <v>1351</v>
      </c>
      <c r="C795" s="3" t="str">
        <f>("295526")</f>
        <v>295526</v>
      </c>
      <c r="D795" s="11" t="str">
        <f>("622454615106")</f>
        <v>622454615106</v>
      </c>
      <c r="E795" s="3"/>
      <c r="F795" s="8" t="s">
        <v>861</v>
      </c>
      <c r="G795" s="14">
        <v>4461.602989399832</v>
      </c>
      <c r="H795" s="35">
        <v>45689</v>
      </c>
      <c r="I795" s="3">
        <v>30.64</v>
      </c>
      <c r="J795" s="3" t="s">
        <v>10</v>
      </c>
      <c r="K795" s="11" t="str">
        <f>("00622454615106")</f>
        <v>00622454615106</v>
      </c>
      <c r="L795" s="3">
        <v>1</v>
      </c>
      <c r="M795" s="3"/>
    </row>
    <row r="796" spans="1:13" x14ac:dyDescent="0.25">
      <c r="A796" s="3" t="s">
        <v>1371</v>
      </c>
      <c r="B796" s="10" t="s">
        <v>1351</v>
      </c>
      <c r="C796" s="3" t="str">
        <f>("295527")</f>
        <v>295527</v>
      </c>
      <c r="D796" s="11" t="str">
        <f>("622454615113")</f>
        <v>622454615113</v>
      </c>
      <c r="E796" s="3"/>
      <c r="F796" s="8" t="s">
        <v>862</v>
      </c>
      <c r="G796" s="14">
        <v>4668.8954325060331</v>
      </c>
      <c r="H796" s="35">
        <v>45689</v>
      </c>
      <c r="I796" s="3">
        <v>35.331000000000003</v>
      </c>
      <c r="J796" s="3" t="s">
        <v>10</v>
      </c>
      <c r="K796" s="11" t="str">
        <f>("00622454615113")</f>
        <v>00622454615113</v>
      </c>
      <c r="L796" s="3">
        <v>1</v>
      </c>
      <c r="M796" s="3"/>
    </row>
    <row r="797" spans="1:13" x14ac:dyDescent="0.25">
      <c r="A797" s="3" t="s">
        <v>1371</v>
      </c>
      <c r="B797" s="10" t="s">
        <v>1351</v>
      </c>
      <c r="C797" s="3" t="str">
        <f>("295528")</f>
        <v>295528</v>
      </c>
      <c r="D797" s="11" t="str">
        <f>("622454615120")</f>
        <v>622454615120</v>
      </c>
      <c r="E797" s="3"/>
      <c r="F797" s="8" t="s">
        <v>863</v>
      </c>
      <c r="G797" s="14">
        <v>6164.3210505211528</v>
      </c>
      <c r="H797" s="35">
        <v>45689</v>
      </c>
      <c r="I797" s="3">
        <v>28.138000000000002</v>
      </c>
      <c r="J797" s="3" t="s">
        <v>10</v>
      </c>
      <c r="K797" s="11" t="str">
        <f>("00622454615120")</f>
        <v>00622454615120</v>
      </c>
      <c r="L797" s="3">
        <v>1</v>
      </c>
      <c r="M797" s="3"/>
    </row>
    <row r="798" spans="1:13" x14ac:dyDescent="0.25">
      <c r="A798" s="3" t="s">
        <v>1371</v>
      </c>
      <c r="B798" s="10" t="s">
        <v>1351</v>
      </c>
      <c r="C798" s="3" t="str">
        <f>("295529")</f>
        <v>295529</v>
      </c>
      <c r="D798" s="11" t="str">
        <f>("622454615137")</f>
        <v>622454615137</v>
      </c>
      <c r="E798" s="3"/>
      <c r="F798" s="8" t="s">
        <v>864</v>
      </c>
      <c r="G798" s="14">
        <v>7473.5487806978044</v>
      </c>
      <c r="H798" s="35">
        <v>45689</v>
      </c>
      <c r="I798" s="3">
        <v>31.081</v>
      </c>
      <c r="J798" s="3" t="s">
        <v>10</v>
      </c>
      <c r="K798" s="11" t="str">
        <f>("00622454615137")</f>
        <v>00622454615137</v>
      </c>
      <c r="L798" s="3">
        <v>1</v>
      </c>
      <c r="M798" s="3"/>
    </row>
    <row r="799" spans="1:13" x14ac:dyDescent="0.25">
      <c r="A799" s="3" t="s">
        <v>1371</v>
      </c>
      <c r="B799" s="10" t="s">
        <v>1351</v>
      </c>
      <c r="C799" s="3" t="str">
        <f>("295530")</f>
        <v>295530</v>
      </c>
      <c r="D799" s="11" t="str">
        <f>("622454615144")</f>
        <v>622454615144</v>
      </c>
      <c r="E799" s="3"/>
      <c r="F799" s="8" t="s">
        <v>865</v>
      </c>
      <c r="G799" s="14">
        <v>9745.598433467896</v>
      </c>
      <c r="H799" s="35">
        <v>45689</v>
      </c>
      <c r="I799" s="3">
        <v>35.734999999999999</v>
      </c>
      <c r="J799" s="3" t="s">
        <v>10</v>
      </c>
      <c r="K799" s="11" t="str">
        <f>("00622454615144")</f>
        <v>00622454615144</v>
      </c>
      <c r="L799" s="3">
        <v>1</v>
      </c>
      <c r="M799" s="3"/>
    </row>
    <row r="800" spans="1:13" x14ac:dyDescent="0.25">
      <c r="A800" s="3" t="s">
        <v>1371</v>
      </c>
      <c r="B800" s="10" t="s">
        <v>1351</v>
      </c>
      <c r="C800" s="3" t="str">
        <f>("295531")</f>
        <v>295531</v>
      </c>
      <c r="D800" s="11" t="str">
        <f>("622454615151")</f>
        <v>622454615151</v>
      </c>
      <c r="E800" s="3"/>
      <c r="F800" s="8" t="s">
        <v>866</v>
      </c>
      <c r="G800" s="14">
        <v>10032.349084754602</v>
      </c>
      <c r="H800" s="35">
        <v>45689</v>
      </c>
      <c r="I800" s="3">
        <v>2E-3</v>
      </c>
      <c r="J800" s="3" t="s">
        <v>10</v>
      </c>
      <c r="K800" s="11" t="str">
        <f>("00622454615151")</f>
        <v>00622454615151</v>
      </c>
      <c r="L800" s="3">
        <v>1</v>
      </c>
      <c r="M800" s="3"/>
    </row>
    <row r="801" spans="1:13" x14ac:dyDescent="0.25">
      <c r="A801" s="3" t="s">
        <v>1371</v>
      </c>
      <c r="B801" s="10" t="s">
        <v>1351</v>
      </c>
      <c r="C801" s="3" t="str">
        <f>("295532")</f>
        <v>295532</v>
      </c>
      <c r="D801" s="11" t="str">
        <f>("622454615168")</f>
        <v>622454615168</v>
      </c>
      <c r="E801" s="3"/>
      <c r="F801" s="8" t="s">
        <v>867</v>
      </c>
      <c r="G801" s="14">
        <v>10188.448793735841</v>
      </c>
      <c r="H801" s="35">
        <v>45689</v>
      </c>
      <c r="I801" s="3">
        <v>56.442999999999998</v>
      </c>
      <c r="J801" s="3" t="s">
        <v>10</v>
      </c>
      <c r="K801" s="11" t="str">
        <f>("00622454615168")</f>
        <v>00622454615168</v>
      </c>
      <c r="L801" s="3">
        <v>1</v>
      </c>
      <c r="M801" s="3"/>
    </row>
    <row r="802" spans="1:13" x14ac:dyDescent="0.25">
      <c r="A802" s="3" t="s">
        <v>1371</v>
      </c>
      <c r="B802" s="10" t="s">
        <v>1351</v>
      </c>
      <c r="C802" s="3" t="str">
        <f>("295533")</f>
        <v>295533</v>
      </c>
      <c r="D802" s="11" t="str">
        <f>("622454615175")</f>
        <v>622454615175</v>
      </c>
      <c r="E802" s="3"/>
      <c r="F802" s="8" t="s">
        <v>868</v>
      </c>
      <c r="G802" s="14">
        <v>6848.1905422592199</v>
      </c>
      <c r="H802" s="35">
        <v>45689</v>
      </c>
      <c r="I802" s="3">
        <v>41.082999999999998</v>
      </c>
      <c r="J802" s="3" t="s">
        <v>10</v>
      </c>
      <c r="K802" s="11" t="str">
        <f>("00622454615175")</f>
        <v>00622454615175</v>
      </c>
      <c r="L802" s="3">
        <v>1</v>
      </c>
      <c r="M802" s="3"/>
    </row>
    <row r="803" spans="1:13" x14ac:dyDescent="0.25">
      <c r="A803" s="3" t="s">
        <v>1371</v>
      </c>
      <c r="B803" s="10" t="s">
        <v>1351</v>
      </c>
      <c r="C803" s="3" t="str">
        <f>("295534")</f>
        <v>295534</v>
      </c>
      <c r="D803" s="11" t="str">
        <f>("622454615182")</f>
        <v>622454615182</v>
      </c>
      <c r="E803" s="3"/>
      <c r="F803" s="8" t="s">
        <v>869</v>
      </c>
      <c r="G803" s="14">
        <v>8307.5278657230083</v>
      </c>
      <c r="H803" s="35">
        <v>45689</v>
      </c>
      <c r="I803" s="3">
        <v>43.055999999999997</v>
      </c>
      <c r="J803" s="3" t="s">
        <v>10</v>
      </c>
      <c r="K803" s="11" t="str">
        <f>("10622454615189")</f>
        <v>10622454615189</v>
      </c>
      <c r="L803" s="3">
        <v>5</v>
      </c>
      <c r="M803" s="3"/>
    </row>
    <row r="804" spans="1:13" x14ac:dyDescent="0.25">
      <c r="A804" s="3" t="s">
        <v>1371</v>
      </c>
      <c r="B804" s="10" t="s">
        <v>1351</v>
      </c>
      <c r="C804" s="3" t="str">
        <f>("295535")</f>
        <v>295535</v>
      </c>
      <c r="D804" s="11" t="str">
        <f>("622454615199")</f>
        <v>622454615199</v>
      </c>
      <c r="E804" s="3"/>
      <c r="F804" s="8" t="s">
        <v>870</v>
      </c>
      <c r="G804" s="14">
        <v>10627.965845270513</v>
      </c>
      <c r="H804" s="35">
        <v>45689</v>
      </c>
      <c r="I804" s="3">
        <v>51.972000000000001</v>
      </c>
      <c r="J804" s="3" t="s">
        <v>10</v>
      </c>
      <c r="K804" s="11" t="str">
        <f>("00622454615199")</f>
        <v>00622454615199</v>
      </c>
      <c r="L804" s="3">
        <v>1</v>
      </c>
      <c r="M804" s="3"/>
    </row>
    <row r="805" spans="1:13" x14ac:dyDescent="0.25">
      <c r="A805" s="3" t="s">
        <v>1371</v>
      </c>
      <c r="B805" s="10" t="s">
        <v>1351</v>
      </c>
      <c r="C805" s="3" t="str">
        <f>("295536")</f>
        <v>295536</v>
      </c>
      <c r="D805" s="11" t="str">
        <f>("622454615205")</f>
        <v>622454615205</v>
      </c>
      <c r="E805" s="3"/>
      <c r="F805" s="8" t="s">
        <v>871</v>
      </c>
      <c r="G805" s="14">
        <v>10798.616492375211</v>
      </c>
      <c r="H805" s="35">
        <v>45689</v>
      </c>
      <c r="I805" s="3">
        <v>2E-3</v>
      </c>
      <c r="J805" s="3" t="s">
        <v>10</v>
      </c>
      <c r="K805" s="11" t="str">
        <f>("00622454615205")</f>
        <v>00622454615205</v>
      </c>
      <c r="L805" s="3">
        <v>1</v>
      </c>
      <c r="M805" s="3"/>
    </row>
    <row r="806" spans="1:13" x14ac:dyDescent="0.25">
      <c r="A806" s="3" t="s">
        <v>1371</v>
      </c>
      <c r="B806" s="10" t="s">
        <v>1351</v>
      </c>
      <c r="C806" s="3" t="str">
        <f>("295537")</f>
        <v>295537</v>
      </c>
      <c r="D806" s="11" t="str">
        <f>("622454615212")</f>
        <v>622454615212</v>
      </c>
      <c r="E806" s="3"/>
      <c r="F806" s="8" t="s">
        <v>872</v>
      </c>
      <c r="G806" s="14">
        <v>10940.521964167545</v>
      </c>
      <c r="H806" s="35">
        <v>45689</v>
      </c>
      <c r="I806" s="3">
        <v>68.91</v>
      </c>
      <c r="J806" s="3" t="s">
        <v>10</v>
      </c>
      <c r="K806" s="11" t="str">
        <f>("10622454615219")</f>
        <v>10622454615219</v>
      </c>
      <c r="L806" s="3">
        <v>4</v>
      </c>
      <c r="M806" s="3">
        <v>4</v>
      </c>
    </row>
    <row r="807" spans="1:13" x14ac:dyDescent="0.25">
      <c r="A807" s="3" t="s">
        <v>1371</v>
      </c>
      <c r="B807" s="10" t="s">
        <v>1351</v>
      </c>
      <c r="C807" s="3" t="str">
        <f>("026160")</f>
        <v>026160</v>
      </c>
      <c r="D807" s="11" t="str">
        <f>("622454064546")</f>
        <v>622454064546</v>
      </c>
      <c r="E807" s="3"/>
      <c r="F807" s="8" t="s">
        <v>873</v>
      </c>
      <c r="G807" s="14">
        <v>11116.473925161683</v>
      </c>
      <c r="H807" s="35">
        <v>45689</v>
      </c>
      <c r="I807" s="3">
        <v>64.114999999999995</v>
      </c>
      <c r="J807" s="3" t="s">
        <v>10</v>
      </c>
      <c r="K807" s="11" t="str">
        <f>("00622454064546")</f>
        <v>00622454064546</v>
      </c>
      <c r="L807" s="3">
        <v>1</v>
      </c>
      <c r="M807" s="3"/>
    </row>
    <row r="808" spans="1:13" x14ac:dyDescent="0.25">
      <c r="A808" s="3" t="s">
        <v>1371</v>
      </c>
      <c r="B808" s="10" t="s">
        <v>1351</v>
      </c>
      <c r="C808" s="3" t="str">
        <f>("226108")</f>
        <v>226108</v>
      </c>
      <c r="D808" s="11" t="str">
        <f>("622454876064")</f>
        <v>622454876064</v>
      </c>
      <c r="E808" s="3" t="s">
        <v>874</v>
      </c>
      <c r="F808" s="8" t="s">
        <v>875</v>
      </c>
      <c r="G808" s="14">
        <v>3747.6692742317091</v>
      </c>
      <c r="H808" s="35">
        <v>45689</v>
      </c>
      <c r="I808" s="3">
        <v>10</v>
      </c>
      <c r="J808" s="3" t="s">
        <v>3</v>
      </c>
      <c r="K808" s="11" t="str">
        <f>("10622454876061")</f>
        <v>10622454876061</v>
      </c>
      <c r="L808" s="3">
        <v>2</v>
      </c>
      <c r="M808" s="3"/>
    </row>
    <row r="809" spans="1:13" x14ac:dyDescent="0.25">
      <c r="A809" s="3" t="s">
        <v>1371</v>
      </c>
      <c r="B809" s="10" t="s">
        <v>1351</v>
      </c>
      <c r="C809" s="3" t="str">
        <f>("226167")</f>
        <v>226167</v>
      </c>
      <c r="D809" s="11" t="str">
        <f>("622454876156")</f>
        <v>622454876156</v>
      </c>
      <c r="E809" s="3" t="s">
        <v>876</v>
      </c>
      <c r="F809" s="8" t="s">
        <v>877</v>
      </c>
      <c r="G809" s="14">
        <v>4020.3618473505658</v>
      </c>
      <c r="H809" s="35">
        <v>45689</v>
      </c>
      <c r="I809" s="3">
        <v>8.0009999999999994</v>
      </c>
      <c r="J809" s="3" t="s">
        <v>3</v>
      </c>
      <c r="K809" s="11" t="str">
        <f>("00622454876156")</f>
        <v>00622454876156</v>
      </c>
      <c r="L809" s="3">
        <v>1</v>
      </c>
      <c r="M809" s="3"/>
    </row>
    <row r="810" spans="1:13" x14ac:dyDescent="0.25">
      <c r="A810" s="3" t="s">
        <v>1371</v>
      </c>
      <c r="B810" s="10" t="s">
        <v>1351</v>
      </c>
      <c r="C810" s="3" t="str">
        <f>("226063")</f>
        <v>226063</v>
      </c>
      <c r="D810" s="11" t="str">
        <f>("622454875203")</f>
        <v>622454875203</v>
      </c>
      <c r="E810" s="3" t="s">
        <v>878</v>
      </c>
      <c r="F810" s="8" t="s">
        <v>879</v>
      </c>
      <c r="G810" s="14">
        <v>3912.823384474731</v>
      </c>
      <c r="H810" s="35">
        <v>45689</v>
      </c>
      <c r="I810" s="3">
        <v>17.3</v>
      </c>
      <c r="J810" s="3" t="s">
        <v>3</v>
      </c>
      <c r="K810" s="11" t="str">
        <f>("10622454875200")</f>
        <v>10622454875200</v>
      </c>
      <c r="L810" s="3">
        <v>24</v>
      </c>
      <c r="M810" s="3"/>
    </row>
    <row r="811" spans="1:13" x14ac:dyDescent="0.25">
      <c r="A811" s="3" t="s">
        <v>1371</v>
      </c>
      <c r="B811" s="10" t="s">
        <v>1351</v>
      </c>
      <c r="C811" s="3" t="str">
        <f>("755520")</f>
        <v>755520</v>
      </c>
      <c r="D811" s="11" t="str">
        <f>("662671191502")</f>
        <v>662671191502</v>
      </c>
      <c r="E811" s="3">
        <v>193723</v>
      </c>
      <c r="F811" s="8" t="s">
        <v>880</v>
      </c>
      <c r="G811" s="14">
        <v>443.44413435228284</v>
      </c>
      <c r="H811" s="35">
        <v>45689</v>
      </c>
      <c r="I811" s="3">
        <v>1.9910000000000001</v>
      </c>
      <c r="J811" s="3" t="s">
        <v>3</v>
      </c>
      <c r="K811" s="11" t="str">
        <f>("10662671191509")</f>
        <v>10662671191509</v>
      </c>
      <c r="L811" s="3">
        <v>15</v>
      </c>
      <c r="M811" s="3">
        <v>270</v>
      </c>
    </row>
    <row r="812" spans="1:13" x14ac:dyDescent="0.25">
      <c r="A812" s="3" t="s">
        <v>1371</v>
      </c>
      <c r="B812" s="10" t="s">
        <v>1351</v>
      </c>
      <c r="C812" s="3" t="str">
        <f>("755521")</f>
        <v>755521</v>
      </c>
      <c r="D812" s="11" t="str">
        <f>("662671192042")</f>
        <v>662671192042</v>
      </c>
      <c r="E812" s="3">
        <v>193724</v>
      </c>
      <c r="F812" s="8" t="s">
        <v>881</v>
      </c>
      <c r="G812" s="14">
        <v>574.01713376454165</v>
      </c>
      <c r="H812" s="35">
        <v>45689</v>
      </c>
      <c r="I812" s="3">
        <v>3.3889999999999998</v>
      </c>
      <c r="J812" s="3" t="s">
        <v>3</v>
      </c>
      <c r="K812" s="11" t="str">
        <f>("10662671192049")</f>
        <v>10662671192049</v>
      </c>
      <c r="L812" s="3">
        <v>8</v>
      </c>
      <c r="M812" s="3">
        <v>144</v>
      </c>
    </row>
    <row r="813" spans="1:13" x14ac:dyDescent="0.25">
      <c r="A813" s="3" t="s">
        <v>1371</v>
      </c>
      <c r="B813" s="10" t="s">
        <v>1351</v>
      </c>
      <c r="C813" s="3" t="str">
        <f>("226101")</f>
        <v>226101</v>
      </c>
      <c r="D813" s="11" t="str">
        <f>("622454875708")</f>
        <v>622454875708</v>
      </c>
      <c r="E813" s="3">
        <v>193726</v>
      </c>
      <c r="F813" s="8" t="s">
        <v>882</v>
      </c>
      <c r="G813" s="14">
        <v>4100.9534192019219</v>
      </c>
      <c r="H813" s="35">
        <v>45689</v>
      </c>
      <c r="I813" s="3">
        <v>7.09</v>
      </c>
      <c r="J813" s="3" t="s">
        <v>3</v>
      </c>
      <c r="K813" s="11" t="str">
        <f>("10622454875705")</f>
        <v>10622454875705</v>
      </c>
      <c r="L813" s="3">
        <v>3</v>
      </c>
      <c r="M813" s="3">
        <v>72</v>
      </c>
    </row>
    <row r="814" spans="1:13" x14ac:dyDescent="0.25">
      <c r="A814" s="3" t="s">
        <v>1371</v>
      </c>
      <c r="B814" s="10" t="s">
        <v>1351</v>
      </c>
      <c r="C814" s="3" t="str">
        <f>("755363")</f>
        <v>755363</v>
      </c>
      <c r="D814" s="11" t="str">
        <f>("662671191687")</f>
        <v>662671191687</v>
      </c>
      <c r="E814" s="3" t="s">
        <v>883</v>
      </c>
      <c r="F814" s="8" t="s">
        <v>884</v>
      </c>
      <c r="G814" s="14">
        <v>105.7654482951055</v>
      </c>
      <c r="H814" s="35">
        <v>45689</v>
      </c>
      <c r="I814" s="3">
        <v>0.52700000000000002</v>
      </c>
      <c r="J814" s="3" t="s">
        <v>3</v>
      </c>
      <c r="K814" s="11" t="str">
        <f>("10662671191684")</f>
        <v>10662671191684</v>
      </c>
      <c r="L814" s="3">
        <v>40</v>
      </c>
      <c r="M814" s="3">
        <v>1280</v>
      </c>
    </row>
    <row r="815" spans="1:13" x14ac:dyDescent="0.25">
      <c r="A815" s="3" t="s">
        <v>1371</v>
      </c>
      <c r="B815" s="10" t="s">
        <v>1351</v>
      </c>
      <c r="C815" s="3" t="str">
        <f>("755364")</f>
        <v>755364</v>
      </c>
      <c r="D815" s="11" t="str">
        <f>("662671190406")</f>
        <v>662671190406</v>
      </c>
      <c r="E815" s="3">
        <v>193202</v>
      </c>
      <c r="F815" s="8" t="s">
        <v>885</v>
      </c>
      <c r="G815" s="14">
        <v>128.88790290991238</v>
      </c>
      <c r="H815" s="35">
        <v>45689</v>
      </c>
      <c r="I815" s="3">
        <v>0.88</v>
      </c>
      <c r="J815" s="3" t="s">
        <v>3</v>
      </c>
      <c r="K815" s="11" t="str">
        <f>("10662671190403")</f>
        <v>10662671190403</v>
      </c>
      <c r="L815" s="3">
        <v>20</v>
      </c>
      <c r="M815" s="3">
        <v>640</v>
      </c>
    </row>
    <row r="816" spans="1:13" x14ac:dyDescent="0.25">
      <c r="A816" s="3" t="s">
        <v>1371</v>
      </c>
      <c r="B816" s="10" t="s">
        <v>1351</v>
      </c>
      <c r="C816" s="3" t="str">
        <f>("755367")</f>
        <v>755367</v>
      </c>
      <c r="D816" s="11" t="str">
        <f>("662671192318")</f>
        <v>662671192318</v>
      </c>
      <c r="E816" s="3">
        <v>193203</v>
      </c>
      <c r="F816" s="8" t="s">
        <v>886</v>
      </c>
      <c r="G816" s="14">
        <v>434.94538677523076</v>
      </c>
      <c r="H816" s="35">
        <v>45689</v>
      </c>
      <c r="I816" s="3">
        <v>2.5859999999999999</v>
      </c>
      <c r="J816" s="3" t="s">
        <v>3</v>
      </c>
      <c r="K816" s="11" t="str">
        <f>("10662671192315")</f>
        <v>10662671192315</v>
      </c>
      <c r="L816" s="3">
        <v>10</v>
      </c>
      <c r="M816" s="3">
        <v>180</v>
      </c>
    </row>
    <row r="817" spans="1:13" x14ac:dyDescent="0.25">
      <c r="A817" s="3" t="s">
        <v>1371</v>
      </c>
      <c r="B817" s="10" t="s">
        <v>1351</v>
      </c>
      <c r="C817" s="3" t="str">
        <f>("755370")</f>
        <v>755370</v>
      </c>
      <c r="D817" s="11" t="str">
        <f>("662671192554")</f>
        <v>662671192554</v>
      </c>
      <c r="E817" s="3">
        <v>193204</v>
      </c>
      <c r="F817" s="8" t="s">
        <v>887</v>
      </c>
      <c r="G817" s="14">
        <v>1047.5145979108479</v>
      </c>
      <c r="H817" s="35">
        <v>45689</v>
      </c>
      <c r="I817" s="3">
        <v>4.8810000000000002</v>
      </c>
      <c r="J817" s="3" t="s">
        <v>3</v>
      </c>
      <c r="K817" s="11" t="str">
        <f>("10662671192551")</f>
        <v>10662671192551</v>
      </c>
      <c r="L817" s="3">
        <v>6</v>
      </c>
      <c r="M817" s="3">
        <v>108</v>
      </c>
    </row>
    <row r="818" spans="1:13" x14ac:dyDescent="0.25">
      <c r="A818" s="3" t="s">
        <v>1371</v>
      </c>
      <c r="B818" s="10" t="s">
        <v>1351</v>
      </c>
      <c r="C818" s="3" t="str">
        <f>("755096")</f>
        <v>755096</v>
      </c>
      <c r="D818" s="11" t="str">
        <f>("662671063717")</f>
        <v>662671063717</v>
      </c>
      <c r="E818" s="3">
        <v>193206</v>
      </c>
      <c r="F818" s="8" t="s">
        <v>888</v>
      </c>
      <c r="G818" s="14">
        <v>2347.8522832259282</v>
      </c>
      <c r="H818" s="35">
        <v>45689</v>
      </c>
      <c r="I818" s="3">
        <v>12.569000000000001</v>
      </c>
      <c r="J818" s="3" t="s">
        <v>3</v>
      </c>
      <c r="K818" s="11" t="str">
        <f>("10662671063714")</f>
        <v>10662671063714</v>
      </c>
      <c r="L818" s="3">
        <v>1</v>
      </c>
      <c r="M818" s="3">
        <v>24</v>
      </c>
    </row>
    <row r="819" spans="1:13" x14ac:dyDescent="0.25">
      <c r="A819" s="3" t="s">
        <v>1371</v>
      </c>
      <c r="B819" s="10" t="s">
        <v>1351</v>
      </c>
      <c r="C819" s="3" t="str">
        <f>("755362")</f>
        <v>755362</v>
      </c>
      <c r="D819" s="11" t="str">
        <f>("662671192516")</f>
        <v>662671192516</v>
      </c>
      <c r="E819" s="3" t="s">
        <v>889</v>
      </c>
      <c r="F819" s="8" t="s">
        <v>890</v>
      </c>
      <c r="G819" s="14">
        <v>161.65204012075415</v>
      </c>
      <c r="H819" s="35">
        <v>45689</v>
      </c>
      <c r="I819" s="3">
        <v>0.56399999999999995</v>
      </c>
      <c r="J819" s="3" t="s">
        <v>3</v>
      </c>
      <c r="K819" s="11" t="str">
        <f>("10662671192513")</f>
        <v>10662671192513</v>
      </c>
      <c r="L819" s="3">
        <v>35</v>
      </c>
      <c r="M819" s="3">
        <v>1120</v>
      </c>
    </row>
    <row r="820" spans="1:13" x14ac:dyDescent="0.25">
      <c r="A820" s="3" t="s">
        <v>1371</v>
      </c>
      <c r="B820" s="10" t="s">
        <v>1351</v>
      </c>
      <c r="C820" s="3" t="str">
        <f>("755360")</f>
        <v>755360</v>
      </c>
      <c r="D820" s="11" t="str">
        <f>("662671193162")</f>
        <v>662671193162</v>
      </c>
      <c r="E820" s="3" t="s">
        <v>891</v>
      </c>
      <c r="F820" s="8" t="s">
        <v>892</v>
      </c>
      <c r="G820" s="14">
        <v>90.409090604156404</v>
      </c>
      <c r="H820" s="35">
        <v>45689</v>
      </c>
      <c r="I820" s="3">
        <v>0.34599999999999997</v>
      </c>
      <c r="J820" s="3" t="s">
        <v>3</v>
      </c>
      <c r="K820" s="11" t="str">
        <f>("10662671193169")</f>
        <v>10662671193169</v>
      </c>
      <c r="L820" s="3">
        <v>75</v>
      </c>
      <c r="M820" s="3">
        <v>2400</v>
      </c>
    </row>
    <row r="821" spans="1:13" x14ac:dyDescent="0.25">
      <c r="A821" s="3" t="s">
        <v>1371</v>
      </c>
      <c r="B821" s="10" t="s">
        <v>1351</v>
      </c>
      <c r="C821" s="3" t="str">
        <f>("755365")</f>
        <v>755365</v>
      </c>
      <c r="D821" s="11" t="str">
        <f>("662671192806")</f>
        <v>662671192806</v>
      </c>
      <c r="E821" s="3" t="s">
        <v>893</v>
      </c>
      <c r="F821" s="8" t="s">
        <v>894</v>
      </c>
      <c r="G821" s="14">
        <v>171.90914926547208</v>
      </c>
      <c r="H821" s="35">
        <v>45689</v>
      </c>
      <c r="I821" s="3">
        <v>0.58199999999999996</v>
      </c>
      <c r="J821" s="3" t="s">
        <v>3</v>
      </c>
      <c r="K821" s="11" t="str">
        <f>("10662671192803")</f>
        <v>10662671192803</v>
      </c>
      <c r="L821" s="3">
        <v>20</v>
      </c>
      <c r="M821" s="3">
        <v>960</v>
      </c>
    </row>
    <row r="822" spans="1:13" x14ac:dyDescent="0.25">
      <c r="A822" s="3" t="s">
        <v>1371</v>
      </c>
      <c r="B822" s="10" t="s">
        <v>1351</v>
      </c>
      <c r="C822" s="3" t="str">
        <f>("755368")</f>
        <v>755368</v>
      </c>
      <c r="D822" s="11" t="str">
        <f>("662671191274")</f>
        <v>662671191274</v>
      </c>
      <c r="E822" s="3" t="s">
        <v>895</v>
      </c>
      <c r="F822" s="8" t="s">
        <v>896</v>
      </c>
      <c r="G822" s="14">
        <v>482.11343582786924</v>
      </c>
      <c r="H822" s="35">
        <v>45689</v>
      </c>
      <c r="I822" s="3">
        <v>1.7769999999999999</v>
      </c>
      <c r="J822" s="3" t="s">
        <v>3</v>
      </c>
      <c r="K822" s="11" t="str">
        <f>("10662671191271")</f>
        <v>10662671191271</v>
      </c>
      <c r="L822" s="3">
        <v>10</v>
      </c>
      <c r="M822" s="3">
        <v>320</v>
      </c>
    </row>
    <row r="823" spans="1:13" x14ac:dyDescent="0.25">
      <c r="A823" s="3" t="s">
        <v>1371</v>
      </c>
      <c r="B823" s="10" t="s">
        <v>1351</v>
      </c>
      <c r="C823" s="3" t="str">
        <f>("755371")</f>
        <v>755371</v>
      </c>
      <c r="D823" s="11" t="str">
        <f>("662671193155")</f>
        <v>662671193155</v>
      </c>
      <c r="E823" s="3" t="s">
        <v>897</v>
      </c>
      <c r="F823" s="8" t="s">
        <v>898</v>
      </c>
      <c r="G823" s="14">
        <v>875.53218358005643</v>
      </c>
      <c r="H823" s="35">
        <v>45689</v>
      </c>
      <c r="I823" s="3">
        <v>3.278</v>
      </c>
      <c r="J823" s="3" t="s">
        <v>3</v>
      </c>
      <c r="K823" s="11" t="str">
        <f>("10662671193152")</f>
        <v>10662671193152</v>
      </c>
      <c r="L823" s="3">
        <v>10</v>
      </c>
      <c r="M823" s="3">
        <v>180</v>
      </c>
    </row>
    <row r="824" spans="1:13" x14ac:dyDescent="0.25">
      <c r="A824" s="3" t="s">
        <v>1371</v>
      </c>
      <c r="B824" s="10" t="s">
        <v>1351</v>
      </c>
      <c r="C824" s="3" t="str">
        <f>("755373")</f>
        <v>755373</v>
      </c>
      <c r="D824" s="11" t="str">
        <f>("662671190413")</f>
        <v>662671190413</v>
      </c>
      <c r="E824" s="3" t="s">
        <v>899</v>
      </c>
      <c r="F824" s="8" t="s">
        <v>900</v>
      </c>
      <c r="G824" s="14">
        <v>1245.3888863255202</v>
      </c>
      <c r="H824" s="35">
        <v>45689</v>
      </c>
      <c r="I824" s="3">
        <v>7.758</v>
      </c>
      <c r="J824" s="3" t="s">
        <v>3</v>
      </c>
      <c r="K824" s="11" t="str">
        <f>("10662671190410")</f>
        <v>10662671190410</v>
      </c>
      <c r="L824" s="3">
        <v>2</v>
      </c>
      <c r="M824" s="3">
        <v>48</v>
      </c>
    </row>
    <row r="825" spans="1:13" x14ac:dyDescent="0.25">
      <c r="A825" s="3" t="s">
        <v>1371</v>
      </c>
      <c r="B825" s="10" t="s">
        <v>1351</v>
      </c>
      <c r="C825" s="3" t="str">
        <f>("755380")</f>
        <v>755380</v>
      </c>
      <c r="D825" s="11" t="str">
        <f>("662671191694")</f>
        <v>662671191694</v>
      </c>
      <c r="E825" s="3" t="s">
        <v>901</v>
      </c>
      <c r="F825" s="8" t="s">
        <v>902</v>
      </c>
      <c r="G825" s="14">
        <v>125.97195331019974</v>
      </c>
      <c r="H825" s="35">
        <v>45689</v>
      </c>
      <c r="I825" s="3">
        <v>0.56899999999999995</v>
      </c>
      <c r="J825" s="3" t="s">
        <v>3</v>
      </c>
      <c r="K825" s="11" t="str">
        <f>("10662671191691")</f>
        <v>10662671191691</v>
      </c>
      <c r="L825" s="3">
        <v>40</v>
      </c>
      <c r="M825" s="3">
        <v>1280</v>
      </c>
    </row>
    <row r="826" spans="1:13" x14ac:dyDescent="0.25">
      <c r="A826" s="3" t="s">
        <v>1371</v>
      </c>
      <c r="B826" s="10" t="s">
        <v>1351</v>
      </c>
      <c r="C826" s="3" t="str">
        <f>("755390")</f>
        <v>755390</v>
      </c>
      <c r="D826" s="11" t="str">
        <f>("662671191298")</f>
        <v>662671191298</v>
      </c>
      <c r="E826" s="3" t="s">
        <v>903</v>
      </c>
      <c r="F826" s="8" t="s">
        <v>904</v>
      </c>
      <c r="G826" s="14">
        <v>290.2761887955167</v>
      </c>
      <c r="H826" s="35">
        <v>45689</v>
      </c>
      <c r="I826" s="3">
        <v>0.89100000000000001</v>
      </c>
      <c r="J826" s="3" t="s">
        <v>3</v>
      </c>
      <c r="K826" s="11" t="str">
        <f>("10662671191295")</f>
        <v>10662671191295</v>
      </c>
      <c r="L826" s="3">
        <v>20</v>
      </c>
      <c r="M826" s="3">
        <v>640</v>
      </c>
    </row>
    <row r="827" spans="1:13" x14ac:dyDescent="0.25">
      <c r="A827" s="3" t="s">
        <v>1371</v>
      </c>
      <c r="B827" s="10" t="s">
        <v>1351</v>
      </c>
      <c r="C827" s="3" t="str">
        <f>("755400")</f>
        <v>755400</v>
      </c>
      <c r="D827" s="11" t="str">
        <f>("662671192868")</f>
        <v>662671192868</v>
      </c>
      <c r="E827" s="3" t="s">
        <v>905</v>
      </c>
      <c r="F827" s="8" t="s">
        <v>906</v>
      </c>
      <c r="G827" s="14">
        <v>217.91961028606383</v>
      </c>
      <c r="H827" s="35">
        <v>45689</v>
      </c>
      <c r="I827" s="3">
        <v>0.63300000000000001</v>
      </c>
      <c r="J827" s="3" t="s">
        <v>3</v>
      </c>
      <c r="K827" s="11" t="str">
        <f>("10662671192865")</f>
        <v>10662671192865</v>
      </c>
      <c r="L827" s="3">
        <v>25</v>
      </c>
      <c r="M827" s="3">
        <v>800</v>
      </c>
    </row>
    <row r="828" spans="1:13" x14ac:dyDescent="0.25">
      <c r="A828" s="3" t="s">
        <v>1371</v>
      </c>
      <c r="B828" s="10" t="s">
        <v>1351</v>
      </c>
      <c r="C828" s="3" t="str">
        <f>("755410")</f>
        <v>755410</v>
      </c>
      <c r="D828" s="11" t="str">
        <f>("662671191069")</f>
        <v>662671191069</v>
      </c>
      <c r="E828" s="3" t="s">
        <v>907</v>
      </c>
      <c r="F828" s="8" t="s">
        <v>908</v>
      </c>
      <c r="G828" s="14">
        <v>155.24867341183744</v>
      </c>
      <c r="H828" s="35">
        <v>45689</v>
      </c>
      <c r="I828" s="3">
        <v>0.72299999999999998</v>
      </c>
      <c r="J828" s="3" t="s">
        <v>3</v>
      </c>
      <c r="K828" s="11" t="str">
        <f>("10662671191066")</f>
        <v>10662671191066</v>
      </c>
      <c r="L828" s="3">
        <v>35</v>
      </c>
      <c r="M828" s="3">
        <v>1120</v>
      </c>
    </row>
    <row r="829" spans="1:13" x14ac:dyDescent="0.25">
      <c r="A829" s="3" t="s">
        <v>1371</v>
      </c>
      <c r="B829" s="10" t="s">
        <v>1351</v>
      </c>
      <c r="C829" s="3" t="str">
        <f>("755411")</f>
        <v>755411</v>
      </c>
      <c r="D829" s="11" t="str">
        <f>("662671191076")</f>
        <v>662671191076</v>
      </c>
      <c r="E829" s="3" t="s">
        <v>909</v>
      </c>
      <c r="F829" s="8" t="s">
        <v>910</v>
      </c>
      <c r="G829" s="14">
        <v>122.13286388746248</v>
      </c>
      <c r="H829" s="35">
        <v>45689</v>
      </c>
      <c r="I829" s="3">
        <v>0.63500000000000001</v>
      </c>
      <c r="J829" s="3" t="s">
        <v>3</v>
      </c>
      <c r="K829" s="11" t="str">
        <f>("10662671191073")</f>
        <v>10662671191073</v>
      </c>
      <c r="L829" s="3">
        <v>35</v>
      </c>
      <c r="M829" s="3">
        <v>1120</v>
      </c>
    </row>
    <row r="830" spans="1:13" x14ac:dyDescent="0.25">
      <c r="A830" s="3" t="s">
        <v>1371</v>
      </c>
      <c r="B830" s="10" t="s">
        <v>1351</v>
      </c>
      <c r="C830" s="3" t="str">
        <f>("755231")</f>
        <v>755231</v>
      </c>
      <c r="D830" s="11" t="str">
        <f>("662671190314")</f>
        <v>662671190314</v>
      </c>
      <c r="E830" s="3" t="s">
        <v>911</v>
      </c>
      <c r="F830" s="8" t="s">
        <v>912</v>
      </c>
      <c r="G830" s="14">
        <v>47.241314117957891</v>
      </c>
      <c r="H830" s="35">
        <v>45689</v>
      </c>
      <c r="I830" s="3">
        <v>0.112</v>
      </c>
      <c r="J830" s="3" t="s">
        <v>3</v>
      </c>
      <c r="K830" s="11" t="str">
        <f>("10662671190311")</f>
        <v>10662671190311</v>
      </c>
      <c r="L830" s="3">
        <v>100</v>
      </c>
      <c r="M830" s="3">
        <v>7200</v>
      </c>
    </row>
    <row r="831" spans="1:13" x14ac:dyDescent="0.25">
      <c r="A831" s="3" t="s">
        <v>1371</v>
      </c>
      <c r="B831" s="10" t="s">
        <v>1351</v>
      </c>
      <c r="C831" s="3" t="str">
        <f>("755235")</f>
        <v>755235</v>
      </c>
      <c r="D831" s="11" t="str">
        <f>("662671190321")</f>
        <v>662671190321</v>
      </c>
      <c r="E831" s="3" t="s">
        <v>913</v>
      </c>
      <c r="F831" s="8" t="s">
        <v>914</v>
      </c>
      <c r="G831" s="14">
        <v>52.443133755636254</v>
      </c>
      <c r="H831" s="35">
        <v>45689</v>
      </c>
      <c r="I831" s="3">
        <v>0.11</v>
      </c>
      <c r="J831" s="3" t="s">
        <v>3</v>
      </c>
      <c r="K831" s="11" t="str">
        <f>("10662671190328")</f>
        <v>10662671190328</v>
      </c>
      <c r="L831" s="3">
        <v>100</v>
      </c>
      <c r="M831" s="3">
        <v>7200</v>
      </c>
    </row>
    <row r="832" spans="1:13" x14ac:dyDescent="0.25">
      <c r="A832" s="3" t="s">
        <v>1371</v>
      </c>
      <c r="B832" s="10" t="s">
        <v>1351</v>
      </c>
      <c r="C832" s="3" t="str">
        <f>("755232")</f>
        <v>755232</v>
      </c>
      <c r="D832" s="11" t="str">
        <f>("662671193100")</f>
        <v>662671193100</v>
      </c>
      <c r="E832" s="3" t="s">
        <v>915</v>
      </c>
      <c r="F832" s="8" t="s">
        <v>916</v>
      </c>
      <c r="G832" s="14">
        <v>49.981427560903967</v>
      </c>
      <c r="H832" s="35">
        <v>45689</v>
      </c>
      <c r="I832" s="3">
        <v>0.112</v>
      </c>
      <c r="J832" s="3" t="s">
        <v>3</v>
      </c>
      <c r="K832" s="11" t="str">
        <f>("10662671193107")</f>
        <v>10662671193107</v>
      </c>
      <c r="L832" s="3">
        <v>100</v>
      </c>
      <c r="M832" s="3">
        <v>7200</v>
      </c>
    </row>
    <row r="833" spans="1:13" x14ac:dyDescent="0.25">
      <c r="A833" s="3" t="s">
        <v>1371</v>
      </c>
      <c r="B833" s="10" t="s">
        <v>1351</v>
      </c>
      <c r="C833" s="3" t="str">
        <f>("755233")</f>
        <v>755233</v>
      </c>
      <c r="D833" s="11" t="str">
        <f>("662671193117")</f>
        <v>662671193117</v>
      </c>
      <c r="E833" s="3" t="s">
        <v>917</v>
      </c>
      <c r="F833" s="8" t="s">
        <v>918</v>
      </c>
      <c r="G833" s="14">
        <v>50.274487822181619</v>
      </c>
      <c r="H833" s="35">
        <v>45689</v>
      </c>
      <c r="I833" s="3">
        <v>0.112</v>
      </c>
      <c r="J833" s="3" t="s">
        <v>3</v>
      </c>
      <c r="K833" s="11" t="str">
        <f>("10662671193114")</f>
        <v>10662671193114</v>
      </c>
      <c r="L833" s="3">
        <v>100</v>
      </c>
      <c r="M833" s="3">
        <v>7200</v>
      </c>
    </row>
    <row r="834" spans="1:13" x14ac:dyDescent="0.25">
      <c r="A834" s="3" t="s">
        <v>1371</v>
      </c>
      <c r="B834" s="10" t="s">
        <v>1351</v>
      </c>
      <c r="C834" s="3" t="str">
        <f>("755211")</f>
        <v>755211</v>
      </c>
      <c r="D834" s="11" t="str">
        <f>("662671190307")</f>
        <v>662671190307</v>
      </c>
      <c r="E834" s="3" t="s">
        <v>919</v>
      </c>
      <c r="F834" s="8" t="s">
        <v>920</v>
      </c>
      <c r="G834" s="14">
        <v>54.098924231855008</v>
      </c>
      <c r="H834" s="35">
        <v>45689</v>
      </c>
      <c r="I834" s="3">
        <v>0.115</v>
      </c>
      <c r="J834" s="3" t="s">
        <v>3</v>
      </c>
      <c r="K834" s="11" t="str">
        <f>("10662671190304")</f>
        <v>10662671190304</v>
      </c>
      <c r="L834" s="3">
        <v>100</v>
      </c>
      <c r="M834" s="3">
        <v>7200</v>
      </c>
    </row>
    <row r="835" spans="1:13" x14ac:dyDescent="0.25">
      <c r="A835" s="3" t="s">
        <v>1371</v>
      </c>
      <c r="B835" s="10" t="s">
        <v>1351</v>
      </c>
      <c r="C835" s="3" t="str">
        <f>("755385")</f>
        <v>755385</v>
      </c>
      <c r="D835" s="11" t="str">
        <f>("662671190420")</f>
        <v>662671190420</v>
      </c>
      <c r="E835" s="3" t="s">
        <v>921</v>
      </c>
      <c r="F835" s="8" t="s">
        <v>922</v>
      </c>
      <c r="G835" s="14">
        <v>68.092551707863009</v>
      </c>
      <c r="H835" s="35">
        <v>45689</v>
      </c>
      <c r="I835" s="3">
        <v>0.11700000000000001</v>
      </c>
      <c r="J835" s="3" t="s">
        <v>3</v>
      </c>
      <c r="K835" s="11" t="str">
        <f>("10662671190427")</f>
        <v>10662671190427</v>
      </c>
      <c r="L835" s="3">
        <v>100</v>
      </c>
      <c r="M835" s="3">
        <v>7200</v>
      </c>
    </row>
    <row r="836" spans="1:13" x14ac:dyDescent="0.25">
      <c r="A836" s="3" t="s">
        <v>1371</v>
      </c>
      <c r="B836" s="10" t="s">
        <v>1351</v>
      </c>
      <c r="C836" s="3" t="str">
        <f>("755214")</f>
        <v>755214</v>
      </c>
      <c r="D836" s="11" t="str">
        <f>("662671193124")</f>
        <v>662671193124</v>
      </c>
      <c r="E836" s="3" t="s">
        <v>923</v>
      </c>
      <c r="F836" s="8" t="s">
        <v>924</v>
      </c>
      <c r="G836" s="14">
        <v>52.516398820955686</v>
      </c>
      <c r="H836" s="35">
        <v>45689</v>
      </c>
      <c r="I836" s="3">
        <v>0.115</v>
      </c>
      <c r="J836" s="3" t="s">
        <v>3</v>
      </c>
      <c r="K836" s="11" t="str">
        <f>("10662671193121")</f>
        <v>10662671193121</v>
      </c>
      <c r="L836" s="3">
        <v>100</v>
      </c>
      <c r="M836" s="3">
        <v>7200</v>
      </c>
    </row>
    <row r="837" spans="1:13" x14ac:dyDescent="0.25">
      <c r="A837" s="3" t="s">
        <v>1371</v>
      </c>
      <c r="B837" s="10" t="s">
        <v>1351</v>
      </c>
      <c r="C837" s="3" t="str">
        <f>("755215")</f>
        <v>755215</v>
      </c>
      <c r="D837" s="11" t="str">
        <f>("662671193131")</f>
        <v>662671193131</v>
      </c>
      <c r="E837" s="3" t="s">
        <v>925</v>
      </c>
      <c r="F837" s="8" t="s">
        <v>926</v>
      </c>
      <c r="G837" s="14">
        <v>57.044179857695433</v>
      </c>
      <c r="H837" s="35">
        <v>45689</v>
      </c>
      <c r="I837" s="3">
        <v>0.11899999999999999</v>
      </c>
      <c r="J837" s="3" t="s">
        <v>3</v>
      </c>
      <c r="K837" s="11" t="str">
        <f>("10662671193138")</f>
        <v>10662671193138</v>
      </c>
      <c r="L837" s="3">
        <v>100</v>
      </c>
      <c r="M837" s="3">
        <v>7200</v>
      </c>
    </row>
    <row r="838" spans="1:13" x14ac:dyDescent="0.25">
      <c r="A838" s="3" t="s">
        <v>1371</v>
      </c>
      <c r="B838" s="10" t="s">
        <v>1351</v>
      </c>
      <c r="C838" s="3" t="str">
        <f>("755210")</f>
        <v>755210</v>
      </c>
      <c r="D838" s="11" t="str">
        <f>("662671193285")</f>
        <v>662671193285</v>
      </c>
      <c r="E838" s="3">
        <v>192801</v>
      </c>
      <c r="F838" s="8" t="s">
        <v>927</v>
      </c>
      <c r="G838" s="14">
        <v>49.409960051412533</v>
      </c>
      <c r="H838" s="35">
        <v>45689</v>
      </c>
      <c r="I838" s="3">
        <v>8.2000000000000003E-2</v>
      </c>
      <c r="J838" s="3" t="s">
        <v>3</v>
      </c>
      <c r="K838" s="11" t="str">
        <f>("10662671193282")</f>
        <v>10662671193282</v>
      </c>
      <c r="L838" s="3">
        <v>100</v>
      </c>
      <c r="M838" s="3">
        <v>7200</v>
      </c>
    </row>
    <row r="839" spans="1:13" x14ac:dyDescent="0.25">
      <c r="A839" s="3" t="s">
        <v>1371</v>
      </c>
      <c r="B839" s="10" t="s">
        <v>1351</v>
      </c>
      <c r="C839" s="3" t="str">
        <f>("755212")</f>
        <v>755212</v>
      </c>
      <c r="D839" s="11" t="str">
        <f>("662671192851")</f>
        <v>662671192851</v>
      </c>
      <c r="E839" s="3">
        <v>192802</v>
      </c>
      <c r="F839" s="8" t="s">
        <v>928</v>
      </c>
      <c r="G839" s="14">
        <v>179.44079798030776</v>
      </c>
      <c r="H839" s="35">
        <v>45689</v>
      </c>
      <c r="I839" s="3">
        <v>9.9000000000000005E-2</v>
      </c>
      <c r="J839" s="3" t="s">
        <v>3</v>
      </c>
      <c r="K839" s="11" t="str">
        <f>("10662671192858")</f>
        <v>10662671192858</v>
      </c>
      <c r="L839" s="3">
        <v>25</v>
      </c>
      <c r="M839" s="3">
        <v>3600</v>
      </c>
    </row>
    <row r="840" spans="1:13" x14ac:dyDescent="0.25">
      <c r="A840" s="3" t="s">
        <v>1371</v>
      </c>
      <c r="B840" s="10" t="s">
        <v>1351</v>
      </c>
      <c r="C840" s="3" t="str">
        <f>("755230")</f>
        <v>755230</v>
      </c>
      <c r="D840" s="11" t="str">
        <f>("662671193292")</f>
        <v>662671193292</v>
      </c>
      <c r="E840" s="3">
        <v>192851</v>
      </c>
      <c r="F840" s="8" t="s">
        <v>929</v>
      </c>
      <c r="G840" s="14">
        <v>42.171371597854474</v>
      </c>
      <c r="H840" s="35">
        <v>45689</v>
      </c>
      <c r="I840" s="3">
        <v>7.9000000000000001E-2</v>
      </c>
      <c r="J840" s="3" t="s">
        <v>3</v>
      </c>
      <c r="K840" s="11" t="str">
        <f>("10662671193299")</f>
        <v>10662671193299</v>
      </c>
      <c r="L840" s="3">
        <v>125</v>
      </c>
      <c r="M840" s="3">
        <v>9000</v>
      </c>
    </row>
    <row r="841" spans="1:13" x14ac:dyDescent="0.25">
      <c r="A841" s="3" t="s">
        <v>1371</v>
      </c>
      <c r="B841" s="10" t="s">
        <v>1351</v>
      </c>
      <c r="C841" s="3" t="str">
        <f>("755242")</f>
        <v>755242</v>
      </c>
      <c r="D841" s="11" t="str">
        <f>("662671190338")</f>
        <v>662671190338</v>
      </c>
      <c r="E841" s="3" t="s">
        <v>930</v>
      </c>
      <c r="F841" s="8" t="s">
        <v>931</v>
      </c>
      <c r="G841" s="14">
        <v>32.500382975691871</v>
      </c>
      <c r="H841" s="35">
        <v>45689</v>
      </c>
      <c r="I841" s="3">
        <v>0.157</v>
      </c>
      <c r="J841" s="3" t="s">
        <v>3</v>
      </c>
      <c r="K841" s="11" t="str">
        <f>("10662671190335")</f>
        <v>10662671190335</v>
      </c>
      <c r="L841" s="3">
        <v>80</v>
      </c>
      <c r="M841" s="3">
        <v>5760</v>
      </c>
    </row>
    <row r="842" spans="1:13" x14ac:dyDescent="0.25">
      <c r="A842" s="3" t="s">
        <v>1371</v>
      </c>
      <c r="B842" s="10" t="s">
        <v>1351</v>
      </c>
      <c r="C842" s="3" t="str">
        <f>("755074")</f>
        <v>755074</v>
      </c>
      <c r="D842" s="11" t="str">
        <f>("662671058638")</f>
        <v>662671058638</v>
      </c>
      <c r="E842" s="3" t="s">
        <v>932</v>
      </c>
      <c r="F842" s="8" t="s">
        <v>933</v>
      </c>
      <c r="G842" s="14">
        <v>74.158899116310451</v>
      </c>
      <c r="H842" s="35">
        <v>45689</v>
      </c>
      <c r="I842" s="3">
        <v>0.20300000000000001</v>
      </c>
      <c r="J842" s="3" t="s">
        <v>3</v>
      </c>
      <c r="K842" s="11" t="str">
        <f>("10662671058635")</f>
        <v>10662671058635</v>
      </c>
      <c r="L842" s="3">
        <v>40</v>
      </c>
      <c r="M842" s="3"/>
    </row>
    <row r="843" spans="1:13" x14ac:dyDescent="0.25">
      <c r="A843" s="3" t="s">
        <v>1371</v>
      </c>
      <c r="B843" s="10" t="s">
        <v>1351</v>
      </c>
      <c r="C843" s="3" t="str">
        <f>("755545")</f>
        <v>755545</v>
      </c>
      <c r="D843" s="11" t="str">
        <f>("662671190710")</f>
        <v>662671190710</v>
      </c>
      <c r="E843" s="3">
        <v>193930</v>
      </c>
      <c r="F843" s="8" t="s">
        <v>934</v>
      </c>
      <c r="G843" s="14">
        <v>19.840179688497201</v>
      </c>
      <c r="H843" s="35">
        <v>45689</v>
      </c>
      <c r="I843" s="3">
        <v>2.5999999999999999E-2</v>
      </c>
      <c r="J843" s="3" t="s">
        <v>3</v>
      </c>
      <c r="K843" s="11" t="str">
        <f>("00662671190710")</f>
        <v>00662671190710</v>
      </c>
      <c r="L843" s="3">
        <v>1</v>
      </c>
      <c r="M843" s="3"/>
    </row>
    <row r="844" spans="1:13" x14ac:dyDescent="0.25">
      <c r="A844" s="3" t="s">
        <v>1371</v>
      </c>
      <c r="B844" s="10" t="s">
        <v>1351</v>
      </c>
      <c r="C844" s="3" t="str">
        <f>("755546")</f>
        <v>755546</v>
      </c>
      <c r="D844" s="11" t="str">
        <f>("662671190727")</f>
        <v>662671190727</v>
      </c>
      <c r="E844" s="3">
        <v>193931</v>
      </c>
      <c r="F844" s="8" t="s">
        <v>935</v>
      </c>
      <c r="G844" s="14">
        <v>13.803138306177519</v>
      </c>
      <c r="H844" s="35">
        <v>45689</v>
      </c>
      <c r="I844" s="3">
        <v>3.1E-2</v>
      </c>
      <c r="J844" s="3" t="s">
        <v>3</v>
      </c>
      <c r="K844" s="11" t="str">
        <f>("10662671190724")</f>
        <v>10662671190724</v>
      </c>
      <c r="L844" s="3">
        <v>1000</v>
      </c>
      <c r="M844" s="3"/>
    </row>
    <row r="845" spans="1:13" x14ac:dyDescent="0.25">
      <c r="A845" s="3" t="s">
        <v>1371</v>
      </c>
      <c r="B845" s="10" t="s">
        <v>1351</v>
      </c>
      <c r="C845" s="3" t="str">
        <f>("755451")</f>
        <v>755451</v>
      </c>
      <c r="D845" s="11" t="str">
        <f>("662671192264")</f>
        <v>662671192264</v>
      </c>
      <c r="E845" s="3">
        <v>193604</v>
      </c>
      <c r="F845" s="8" t="s">
        <v>936</v>
      </c>
      <c r="G845" s="14">
        <v>237.93562613132761</v>
      </c>
      <c r="H845" s="35">
        <v>45689</v>
      </c>
      <c r="I845" s="3">
        <v>0.70799999999999996</v>
      </c>
      <c r="J845" s="3" t="s">
        <v>3</v>
      </c>
      <c r="K845" s="11" t="str">
        <f>("10662671192261")</f>
        <v>10662671192261</v>
      </c>
      <c r="L845" s="3">
        <v>25</v>
      </c>
      <c r="M845" s="3">
        <v>800</v>
      </c>
    </row>
    <row r="846" spans="1:13" x14ac:dyDescent="0.25">
      <c r="A846" s="3" t="s">
        <v>1371</v>
      </c>
      <c r="B846" s="10" t="s">
        <v>1351</v>
      </c>
      <c r="C846" s="3" t="str">
        <f>("755473")</f>
        <v>755473</v>
      </c>
      <c r="D846" s="11" t="str">
        <f>("662671192097")</f>
        <v>662671192097</v>
      </c>
      <c r="E846" s="3">
        <v>193632</v>
      </c>
      <c r="F846" s="8" t="s">
        <v>937</v>
      </c>
      <c r="G846" s="14">
        <v>137.15220227794228</v>
      </c>
      <c r="H846" s="35">
        <v>45689</v>
      </c>
      <c r="I846" s="3">
        <v>0.82699999999999996</v>
      </c>
      <c r="J846" s="3" t="s">
        <v>3</v>
      </c>
      <c r="K846" s="11" t="str">
        <f>("10662671192094")</f>
        <v>10662671192094</v>
      </c>
      <c r="L846" s="3">
        <v>25</v>
      </c>
      <c r="M846" s="3">
        <v>800</v>
      </c>
    </row>
    <row r="847" spans="1:13" x14ac:dyDescent="0.25">
      <c r="A847" s="3" t="s">
        <v>1371</v>
      </c>
      <c r="B847" s="10" t="s">
        <v>1351</v>
      </c>
      <c r="C847" s="3" t="str">
        <f>("755474")</f>
        <v>755474</v>
      </c>
      <c r="D847" s="11" t="str">
        <f>("662671192103")</f>
        <v>662671192103</v>
      </c>
      <c r="E847" s="3">
        <v>193633</v>
      </c>
      <c r="F847" s="8" t="s">
        <v>938</v>
      </c>
      <c r="G847" s="14">
        <v>119.23156730081372</v>
      </c>
      <c r="H847" s="35">
        <v>45689</v>
      </c>
      <c r="I847" s="3">
        <v>0.752</v>
      </c>
      <c r="J847" s="3" t="s">
        <v>3</v>
      </c>
      <c r="K847" s="11" t="str">
        <f>("10662671192100")</f>
        <v>10662671192100</v>
      </c>
      <c r="L847" s="3">
        <v>25</v>
      </c>
      <c r="M847" s="3">
        <v>800</v>
      </c>
    </row>
    <row r="848" spans="1:13" x14ac:dyDescent="0.25">
      <c r="A848" s="3" t="s">
        <v>1371</v>
      </c>
      <c r="B848" s="10" t="s">
        <v>1351</v>
      </c>
      <c r="C848" s="3" t="str">
        <f>("755450")</f>
        <v>755450</v>
      </c>
      <c r="D848" s="11" t="str">
        <f>("662671191144")</f>
        <v>662671191144</v>
      </c>
      <c r="E848" s="3">
        <v>193603</v>
      </c>
      <c r="F848" s="8" t="s">
        <v>939</v>
      </c>
      <c r="G848" s="14">
        <v>216.13194269227012</v>
      </c>
      <c r="H848" s="35">
        <v>45689</v>
      </c>
      <c r="I848" s="3">
        <v>0.65900000000000003</v>
      </c>
      <c r="J848" s="3" t="s">
        <v>3</v>
      </c>
      <c r="K848" s="11" t="str">
        <f>("10662671191141")</f>
        <v>10662671191141</v>
      </c>
      <c r="L848" s="3">
        <v>25</v>
      </c>
      <c r="M848" s="3">
        <v>800</v>
      </c>
    </row>
    <row r="849" spans="1:13" x14ac:dyDescent="0.25">
      <c r="A849" s="3" t="s">
        <v>1371</v>
      </c>
      <c r="B849" s="10" t="s">
        <v>1351</v>
      </c>
      <c r="C849" s="3" t="str">
        <f>("755470")</f>
        <v>755470</v>
      </c>
      <c r="D849" s="11" t="str">
        <f>("662671190529")</f>
        <v>662671190529</v>
      </c>
      <c r="E849" s="3">
        <v>193631</v>
      </c>
      <c r="F849" s="8" t="s">
        <v>940</v>
      </c>
      <c r="G849" s="14">
        <v>216.13194269227012</v>
      </c>
      <c r="H849" s="35">
        <v>45689</v>
      </c>
      <c r="I849" s="3">
        <v>0.75800000000000001</v>
      </c>
      <c r="J849" s="3" t="s">
        <v>3</v>
      </c>
      <c r="K849" s="11" t="str">
        <f>("10662671190526")</f>
        <v>10662671190526</v>
      </c>
      <c r="L849" s="3">
        <v>25</v>
      </c>
      <c r="M849" s="3"/>
    </row>
    <row r="850" spans="1:13" x14ac:dyDescent="0.25">
      <c r="A850" s="3" t="s">
        <v>1371</v>
      </c>
      <c r="B850" s="10" t="s">
        <v>1351</v>
      </c>
      <c r="C850" s="3" t="str">
        <f>("755472")</f>
        <v>755472</v>
      </c>
      <c r="D850" s="11" t="str">
        <f>("662671191090")</f>
        <v>662671191090</v>
      </c>
      <c r="E850" s="3" t="s">
        <v>941</v>
      </c>
      <c r="F850" s="8" t="s">
        <v>942</v>
      </c>
      <c r="G850" s="14">
        <v>195.4272352330039</v>
      </c>
      <c r="H850" s="35">
        <v>45689</v>
      </c>
      <c r="I850" s="3">
        <v>0.72799999999999998</v>
      </c>
      <c r="J850" s="3" t="s">
        <v>3</v>
      </c>
      <c r="K850" s="11" t="str">
        <f>("10662671191097")</f>
        <v>10662671191097</v>
      </c>
      <c r="L850" s="3">
        <v>25</v>
      </c>
      <c r="M850" s="3">
        <v>800</v>
      </c>
    </row>
    <row r="851" spans="1:13" x14ac:dyDescent="0.25">
      <c r="A851" s="3" t="s">
        <v>1371</v>
      </c>
      <c r="B851" s="10" t="s">
        <v>1351</v>
      </c>
      <c r="C851" s="3" t="str">
        <f>("755471")</f>
        <v>755471</v>
      </c>
      <c r="D851" s="11" t="str">
        <f>("662671190512")</f>
        <v>662671190512</v>
      </c>
      <c r="E851" s="3" t="s">
        <v>943</v>
      </c>
      <c r="F851" s="8" t="s">
        <v>944</v>
      </c>
      <c r="G851" s="14">
        <v>219.42887063164378</v>
      </c>
      <c r="H851" s="35">
        <v>45689</v>
      </c>
      <c r="I851" s="3">
        <v>0.747</v>
      </c>
      <c r="J851" s="3" t="s">
        <v>3</v>
      </c>
      <c r="K851" s="11" t="str">
        <f>("10662671190519")</f>
        <v>10662671190519</v>
      </c>
      <c r="L851" s="3">
        <v>25</v>
      </c>
      <c r="M851" s="3">
        <v>800</v>
      </c>
    </row>
    <row r="852" spans="1:13" x14ac:dyDescent="0.25">
      <c r="A852" s="3" t="s">
        <v>1371</v>
      </c>
      <c r="B852" s="10" t="s">
        <v>1351</v>
      </c>
      <c r="C852" s="3" t="str">
        <f>("755453")</f>
        <v>755453</v>
      </c>
      <c r="D852" s="11" t="str">
        <f>("662671191717")</f>
        <v>662671191717</v>
      </c>
      <c r="E852" s="3" t="s">
        <v>945</v>
      </c>
      <c r="F852" s="8" t="s">
        <v>946</v>
      </c>
      <c r="G852" s="14">
        <v>384.7588170314325</v>
      </c>
      <c r="H852" s="35">
        <v>45689</v>
      </c>
      <c r="I852" s="3">
        <v>0.80700000000000005</v>
      </c>
      <c r="J852" s="3" t="s">
        <v>3</v>
      </c>
      <c r="K852" s="11" t="str">
        <f>("10662671191714")</f>
        <v>10662671191714</v>
      </c>
      <c r="L852" s="3">
        <v>30</v>
      </c>
      <c r="M852" s="3">
        <v>960</v>
      </c>
    </row>
    <row r="853" spans="1:13" x14ac:dyDescent="0.25">
      <c r="A853" s="3" t="s">
        <v>1371</v>
      </c>
      <c r="B853" s="10" t="s">
        <v>1351</v>
      </c>
      <c r="C853" s="3" t="str">
        <f>("755455")</f>
        <v>755455</v>
      </c>
      <c r="D853" s="11" t="str">
        <f>("662671191731")</f>
        <v>662671191731</v>
      </c>
      <c r="E853" s="3" t="s">
        <v>947</v>
      </c>
      <c r="F853" s="8" t="s">
        <v>948</v>
      </c>
      <c r="G853" s="14">
        <v>370.76518955542446</v>
      </c>
      <c r="H853" s="35">
        <v>45689</v>
      </c>
      <c r="I853" s="3">
        <v>0.89500000000000002</v>
      </c>
      <c r="J853" s="3" t="s">
        <v>3</v>
      </c>
      <c r="K853" s="11" t="str">
        <f>("10662671191738")</f>
        <v>10662671191738</v>
      </c>
      <c r="L853" s="3">
        <v>25</v>
      </c>
      <c r="M853" s="3">
        <v>800</v>
      </c>
    </row>
    <row r="854" spans="1:13" x14ac:dyDescent="0.25">
      <c r="A854" s="3" t="s">
        <v>1371</v>
      </c>
      <c r="B854" s="10" t="s">
        <v>1351</v>
      </c>
      <c r="C854" s="3" t="str">
        <f>("755459")</f>
        <v>755459</v>
      </c>
      <c r="D854" s="11" t="str">
        <f>("662671190482")</f>
        <v>662671190482</v>
      </c>
      <c r="E854" s="3">
        <v>193624</v>
      </c>
      <c r="F854" s="8" t="s">
        <v>949</v>
      </c>
      <c r="G854" s="14">
        <v>201.21517539323747</v>
      </c>
      <c r="H854" s="35">
        <v>45689</v>
      </c>
      <c r="I854" s="3">
        <v>0.81100000000000005</v>
      </c>
      <c r="J854" s="3" t="s">
        <v>3</v>
      </c>
      <c r="K854" s="11" t="str">
        <f>("10662671190489")</f>
        <v>10662671190489</v>
      </c>
      <c r="L854" s="3">
        <v>25</v>
      </c>
      <c r="M854" s="3">
        <v>800</v>
      </c>
    </row>
    <row r="855" spans="1:13" x14ac:dyDescent="0.25">
      <c r="A855" s="3" t="s">
        <v>1371</v>
      </c>
      <c r="B855" s="10" t="s">
        <v>1351</v>
      </c>
      <c r="C855" s="3" t="str">
        <f>("755454")</f>
        <v>755454</v>
      </c>
      <c r="D855" s="11" t="str">
        <f>("662671192875")</f>
        <v>662671192875</v>
      </c>
      <c r="E855" s="3" t="s">
        <v>950</v>
      </c>
      <c r="F855" s="8" t="s">
        <v>951</v>
      </c>
      <c r="G855" s="14">
        <v>432.38110948905125</v>
      </c>
      <c r="H855" s="35">
        <v>45689</v>
      </c>
      <c r="I855" s="3">
        <v>0.88200000000000001</v>
      </c>
      <c r="J855" s="3" t="s">
        <v>3</v>
      </c>
      <c r="K855" s="11" t="str">
        <f>("10662671192872")</f>
        <v>10662671192872</v>
      </c>
      <c r="L855" s="3">
        <v>25</v>
      </c>
      <c r="M855" s="3">
        <v>800</v>
      </c>
    </row>
    <row r="856" spans="1:13" x14ac:dyDescent="0.25">
      <c r="A856" s="3" t="s">
        <v>1371</v>
      </c>
      <c r="B856" s="10" t="s">
        <v>1351</v>
      </c>
      <c r="C856" s="3" t="str">
        <f>("755456")</f>
        <v>755456</v>
      </c>
      <c r="D856" s="11" t="str">
        <f>("662671192592")</f>
        <v>662671192592</v>
      </c>
      <c r="E856" s="3" t="s">
        <v>952</v>
      </c>
      <c r="F856" s="8" t="s">
        <v>953</v>
      </c>
      <c r="G856" s="14">
        <v>308.38731294247577</v>
      </c>
      <c r="H856" s="35">
        <v>45689</v>
      </c>
      <c r="I856" s="3">
        <v>0.85799999999999998</v>
      </c>
      <c r="J856" s="3" t="s">
        <v>3</v>
      </c>
      <c r="K856" s="11" t="str">
        <f>("10662671192599")</f>
        <v>10662671192599</v>
      </c>
      <c r="L856" s="3">
        <v>25</v>
      </c>
      <c r="M856" s="3">
        <v>800</v>
      </c>
    </row>
    <row r="857" spans="1:13" x14ac:dyDescent="0.25">
      <c r="A857" s="3" t="s">
        <v>1371</v>
      </c>
      <c r="B857" s="10" t="s">
        <v>1351</v>
      </c>
      <c r="C857" s="3" t="str">
        <f>("755458")</f>
        <v>755458</v>
      </c>
      <c r="D857" s="11" t="str">
        <f>("662671190987")</f>
        <v>662671190987</v>
      </c>
      <c r="E857" s="3" t="s">
        <v>954</v>
      </c>
      <c r="F857" s="8" t="s">
        <v>955</v>
      </c>
      <c r="G857" s="14">
        <v>307.39090805413173</v>
      </c>
      <c r="H857" s="35">
        <v>45689</v>
      </c>
      <c r="I857" s="3">
        <v>1.01</v>
      </c>
      <c r="J857" s="3" t="s">
        <v>3</v>
      </c>
      <c r="K857" s="11" t="str">
        <f>("10662671190984")</f>
        <v>10662671190984</v>
      </c>
      <c r="L857" s="3">
        <v>25</v>
      </c>
      <c r="M857" s="3">
        <v>450</v>
      </c>
    </row>
    <row r="858" spans="1:13" x14ac:dyDescent="0.25">
      <c r="A858" s="3" t="s">
        <v>1371</v>
      </c>
      <c r="B858" s="10" t="s">
        <v>1351</v>
      </c>
      <c r="C858" s="3" t="str">
        <f>("755457")</f>
        <v>755457</v>
      </c>
      <c r="D858" s="11" t="str">
        <f>("662671190468")</f>
        <v>662671190468</v>
      </c>
      <c r="E858" s="3" t="s">
        <v>956</v>
      </c>
      <c r="F858" s="8" t="s">
        <v>957</v>
      </c>
      <c r="G858" s="14">
        <v>307.39090805413173</v>
      </c>
      <c r="H858" s="35">
        <v>45689</v>
      </c>
      <c r="I858" s="3">
        <v>1.0820000000000001</v>
      </c>
      <c r="J858" s="3" t="s">
        <v>3</v>
      </c>
      <c r="K858" s="11" t="str">
        <f>("10662671190465")</f>
        <v>10662671190465</v>
      </c>
      <c r="L858" s="3">
        <v>25</v>
      </c>
      <c r="M858" s="3">
        <v>450</v>
      </c>
    </row>
    <row r="859" spans="1:13" x14ac:dyDescent="0.25">
      <c r="A859" s="3" t="s">
        <v>1371</v>
      </c>
      <c r="B859" s="10" t="s">
        <v>1351</v>
      </c>
      <c r="C859" s="3" t="str">
        <f>("755480")</f>
        <v>755480</v>
      </c>
      <c r="D859" s="11" t="str">
        <f>("662671191243")</f>
        <v>662671191243</v>
      </c>
      <c r="E859" s="3" t="s">
        <v>958</v>
      </c>
      <c r="F859" s="8" t="s">
        <v>959</v>
      </c>
      <c r="G859" s="14">
        <v>441.72973182380849</v>
      </c>
      <c r="H859" s="35">
        <v>45689</v>
      </c>
      <c r="I859" s="3">
        <v>1.1859999999999999</v>
      </c>
      <c r="J859" s="3" t="s">
        <v>3</v>
      </c>
      <c r="K859" s="11" t="str">
        <f>("10662671191240")</f>
        <v>10662671191240</v>
      </c>
      <c r="L859" s="3">
        <v>25</v>
      </c>
      <c r="M859" s="3">
        <v>600</v>
      </c>
    </row>
    <row r="860" spans="1:13" x14ac:dyDescent="0.25">
      <c r="A860" s="3" t="s">
        <v>1371</v>
      </c>
      <c r="B860" s="10" t="s">
        <v>1351</v>
      </c>
      <c r="C860" s="3" t="str">
        <f>("755481")</f>
        <v>755481</v>
      </c>
      <c r="D860" s="11" t="str">
        <f>("662671193001")</f>
        <v>662671193001</v>
      </c>
      <c r="E860" s="3" t="s">
        <v>960</v>
      </c>
      <c r="F860" s="8" t="s">
        <v>961</v>
      </c>
      <c r="G860" s="14">
        <v>390.10716679974968</v>
      </c>
      <c r="H860" s="35">
        <v>45689</v>
      </c>
      <c r="I860" s="3">
        <v>1.0049999999999999</v>
      </c>
      <c r="J860" s="3" t="s">
        <v>3</v>
      </c>
      <c r="K860" s="11" t="str">
        <f>("10662671193008")</f>
        <v>10662671193008</v>
      </c>
      <c r="L860" s="3">
        <v>25</v>
      </c>
      <c r="M860" s="3">
        <v>600</v>
      </c>
    </row>
    <row r="861" spans="1:13" x14ac:dyDescent="0.25">
      <c r="A861" s="3" t="s">
        <v>1371</v>
      </c>
      <c r="B861" s="10" t="s">
        <v>1351</v>
      </c>
      <c r="C861" s="3" t="str">
        <f>("755483")</f>
        <v>755483</v>
      </c>
      <c r="D861" s="11" t="str">
        <f>("662671191151")</f>
        <v>662671191151</v>
      </c>
      <c r="E861" s="3">
        <v>193644</v>
      </c>
      <c r="F861" s="8" t="s">
        <v>962</v>
      </c>
      <c r="G861" s="14">
        <v>601.74063448140794</v>
      </c>
      <c r="H861" s="35">
        <v>45689</v>
      </c>
      <c r="I861" s="3">
        <v>1.0820000000000001</v>
      </c>
      <c r="J861" s="3" t="s">
        <v>3</v>
      </c>
      <c r="K861" s="11" t="str">
        <f>("10662671191158")</f>
        <v>10662671191158</v>
      </c>
      <c r="L861" s="3">
        <v>15</v>
      </c>
      <c r="M861" s="3">
        <v>480</v>
      </c>
    </row>
    <row r="862" spans="1:13" x14ac:dyDescent="0.25">
      <c r="A862" s="3" t="s">
        <v>1371</v>
      </c>
      <c r="B862" s="10" t="s">
        <v>1351</v>
      </c>
      <c r="C862" s="3" t="str">
        <f>("755350")</f>
        <v>755350</v>
      </c>
      <c r="D862" s="11" t="str">
        <f>("662671192325")</f>
        <v>662671192325</v>
      </c>
      <c r="E862" s="3">
        <v>193103</v>
      </c>
      <c r="F862" s="8" t="s">
        <v>963</v>
      </c>
      <c r="G862" s="14">
        <v>414.12345521145352</v>
      </c>
      <c r="H862" s="35">
        <v>45689</v>
      </c>
      <c r="I862" s="3">
        <v>1.5369999999999999</v>
      </c>
      <c r="J862" s="3" t="s">
        <v>3</v>
      </c>
      <c r="K862" s="11" t="str">
        <f>("10662671192322")</f>
        <v>10662671192322</v>
      </c>
      <c r="L862" s="3">
        <v>20</v>
      </c>
      <c r="M862" s="3">
        <v>360</v>
      </c>
    </row>
    <row r="863" spans="1:13" x14ac:dyDescent="0.25">
      <c r="A863" s="3" t="s">
        <v>1371</v>
      </c>
      <c r="B863" s="10" t="s">
        <v>1351</v>
      </c>
      <c r="C863" s="3" t="str">
        <f>("755076")</f>
        <v>755076</v>
      </c>
      <c r="D863" s="11" t="str">
        <f>("662671191465")</f>
        <v>662671191465</v>
      </c>
      <c r="E863" s="3">
        <v>192223</v>
      </c>
      <c r="F863" s="8" t="s">
        <v>964</v>
      </c>
      <c r="G863" s="14">
        <v>212.62987257000219</v>
      </c>
      <c r="H863" s="35">
        <v>45689</v>
      </c>
      <c r="I863" s="3">
        <v>1.3140000000000001</v>
      </c>
      <c r="J863" s="3" t="s">
        <v>3</v>
      </c>
      <c r="K863" s="11" t="str">
        <f>("10662671191462")</f>
        <v>10662671191462</v>
      </c>
      <c r="L863" s="3">
        <v>20</v>
      </c>
      <c r="M863" s="3">
        <v>360</v>
      </c>
    </row>
    <row r="864" spans="1:13" x14ac:dyDescent="0.25">
      <c r="A864" s="3" t="s">
        <v>1371</v>
      </c>
      <c r="B864" s="10" t="s">
        <v>1351</v>
      </c>
      <c r="C864" s="3" t="str">
        <f>("755351")</f>
        <v>755351</v>
      </c>
      <c r="D864" s="11" t="str">
        <f>("662671192783")</f>
        <v>662671192783</v>
      </c>
      <c r="E864" s="3" t="s">
        <v>965</v>
      </c>
      <c r="F864" s="8" t="s">
        <v>966</v>
      </c>
      <c r="G864" s="14">
        <v>530.93727535672645</v>
      </c>
      <c r="H864" s="35">
        <v>45689</v>
      </c>
      <c r="I864" s="3">
        <v>1.6379999999999999</v>
      </c>
      <c r="J864" s="3" t="s">
        <v>3</v>
      </c>
      <c r="K864" s="11" t="str">
        <f>("10662671192780")</f>
        <v>10662671192780</v>
      </c>
      <c r="L864" s="3">
        <v>10</v>
      </c>
      <c r="M864" s="3">
        <v>320</v>
      </c>
    </row>
    <row r="865" spans="1:13" x14ac:dyDescent="0.25">
      <c r="A865" s="3" t="s">
        <v>1371</v>
      </c>
      <c r="B865" s="10" t="s">
        <v>1351</v>
      </c>
      <c r="C865" s="3" t="str">
        <f>("755435")</f>
        <v>755435</v>
      </c>
      <c r="D865" s="11" t="str">
        <f>("662671193209")</f>
        <v>662671193209</v>
      </c>
      <c r="E865" s="3">
        <v>193452</v>
      </c>
      <c r="F865" s="8" t="s">
        <v>967</v>
      </c>
      <c r="G865" s="14">
        <v>133.60617311648267</v>
      </c>
      <c r="H865" s="35">
        <v>45689</v>
      </c>
      <c r="I865" s="3">
        <v>0.16500000000000001</v>
      </c>
      <c r="J865" s="3" t="s">
        <v>3</v>
      </c>
      <c r="K865" s="11" t="str">
        <f>("10662671193206")</f>
        <v>10662671193206</v>
      </c>
      <c r="L865" s="3">
        <v>30</v>
      </c>
      <c r="M865" s="3">
        <v>960</v>
      </c>
    </row>
    <row r="866" spans="1:13" x14ac:dyDescent="0.25">
      <c r="A866" s="3" t="s">
        <v>1371</v>
      </c>
      <c r="B866" s="10" t="s">
        <v>1351</v>
      </c>
      <c r="C866" s="3" t="str">
        <f>("755436")</f>
        <v>755436</v>
      </c>
      <c r="D866" s="11" t="str">
        <f>("662671193223")</f>
        <v>662671193223</v>
      </c>
      <c r="E866" s="3">
        <v>193454</v>
      </c>
      <c r="F866" s="8" t="s">
        <v>968</v>
      </c>
      <c r="G866" s="14">
        <v>381.21278786997294</v>
      </c>
      <c r="H866" s="35">
        <v>45689</v>
      </c>
      <c r="I866" s="3">
        <v>0.88</v>
      </c>
      <c r="J866" s="3" t="s">
        <v>3</v>
      </c>
      <c r="K866" s="11" t="str">
        <f>("10662671193220")</f>
        <v>10662671193220</v>
      </c>
      <c r="L866" s="3">
        <v>15</v>
      </c>
      <c r="M866" s="3">
        <v>480</v>
      </c>
    </row>
    <row r="867" spans="1:13" x14ac:dyDescent="0.25">
      <c r="A867" s="3" t="s">
        <v>1371</v>
      </c>
      <c r="B867" s="10" t="s">
        <v>1351</v>
      </c>
      <c r="C867" s="3" t="str">
        <f>("755440")</f>
        <v>755440</v>
      </c>
      <c r="D867" s="11" t="str">
        <f>("662671193216")</f>
        <v>662671193216</v>
      </c>
      <c r="E867" s="3">
        <v>193464</v>
      </c>
      <c r="F867" s="8" t="s">
        <v>969</v>
      </c>
      <c r="G867" s="14">
        <v>289.0160296720228</v>
      </c>
      <c r="H867" s="35">
        <v>45689</v>
      </c>
      <c r="I867" s="3">
        <v>0.8</v>
      </c>
      <c r="J867" s="3" t="s">
        <v>3</v>
      </c>
      <c r="K867" s="11" t="str">
        <f>("10662671193213")</f>
        <v>10662671193213</v>
      </c>
      <c r="L867" s="3">
        <v>10</v>
      </c>
      <c r="M867" s="3">
        <v>320</v>
      </c>
    </row>
    <row r="868" spans="1:13" x14ac:dyDescent="0.25">
      <c r="A868" s="3" t="s">
        <v>1371</v>
      </c>
      <c r="B868" s="10" t="s">
        <v>1351</v>
      </c>
      <c r="C868" s="3" t="str">
        <f>("755437")</f>
        <v>755437</v>
      </c>
      <c r="D868" s="11" t="str">
        <f>("662671190925")</f>
        <v>662671190925</v>
      </c>
      <c r="E868" s="3">
        <v>193456</v>
      </c>
      <c r="F868" s="8" t="s">
        <v>970</v>
      </c>
      <c r="G868" s="14">
        <v>995.86272686066138</v>
      </c>
      <c r="H868" s="35">
        <v>45689</v>
      </c>
      <c r="I868" s="3">
        <v>2.165</v>
      </c>
      <c r="J868" s="3" t="s">
        <v>3</v>
      </c>
      <c r="K868" s="11" t="str">
        <f>("10662671190922")</f>
        <v>10662671190922</v>
      </c>
      <c r="L868" s="3">
        <v>12</v>
      </c>
      <c r="M868" s="3">
        <v>216</v>
      </c>
    </row>
    <row r="869" spans="1:13" x14ac:dyDescent="0.25">
      <c r="A869" s="3" t="s">
        <v>1371</v>
      </c>
      <c r="B869" s="10" t="s">
        <v>1351</v>
      </c>
      <c r="C869" s="3" t="str">
        <f>("755425")</f>
        <v>755425</v>
      </c>
      <c r="D869" s="11" t="str">
        <f>("662671190437")</f>
        <v>662671190437</v>
      </c>
      <c r="E869" s="3">
        <v>193420</v>
      </c>
      <c r="F869" s="8" t="s">
        <v>971</v>
      </c>
      <c r="G869" s="14">
        <v>176.43693030221186</v>
      </c>
      <c r="H869" s="35">
        <v>45689</v>
      </c>
      <c r="I869" s="3">
        <v>9.7000000000000003E-2</v>
      </c>
      <c r="J869" s="3" t="s">
        <v>3</v>
      </c>
      <c r="K869" s="11" t="str">
        <f>("10662671190434")</f>
        <v>10662671190434</v>
      </c>
      <c r="L869" s="3">
        <v>100</v>
      </c>
      <c r="M869" s="3">
        <v>7200</v>
      </c>
    </row>
    <row r="870" spans="1:13" x14ac:dyDescent="0.25">
      <c r="A870" s="3" t="s">
        <v>1371</v>
      </c>
      <c r="B870" s="10" t="s">
        <v>1351</v>
      </c>
      <c r="C870" s="3" t="str">
        <f>("755426")</f>
        <v>755426</v>
      </c>
      <c r="D870" s="11" t="str">
        <f>("662671193063")</f>
        <v>662671193063</v>
      </c>
      <c r="E870" s="3">
        <v>193422</v>
      </c>
      <c r="F870" s="8" t="s">
        <v>972</v>
      </c>
      <c r="G870" s="14">
        <v>70.510298863403634</v>
      </c>
      <c r="H870" s="35">
        <v>45689</v>
      </c>
      <c r="I870" s="3">
        <v>0.17399999999999999</v>
      </c>
      <c r="J870" s="3" t="s">
        <v>3</v>
      </c>
      <c r="K870" s="11" t="str">
        <f>("10662671193060")</f>
        <v>10662671193060</v>
      </c>
      <c r="L870" s="3">
        <v>50</v>
      </c>
      <c r="M870" s="3">
        <v>3600</v>
      </c>
    </row>
    <row r="871" spans="1:13" x14ac:dyDescent="0.25">
      <c r="A871" s="3" t="s">
        <v>1371</v>
      </c>
      <c r="B871" s="10" t="s">
        <v>1351</v>
      </c>
      <c r="C871" s="3" t="str">
        <f>("755427")</f>
        <v>755427</v>
      </c>
      <c r="D871" s="11" t="str">
        <f>("662671192721")</f>
        <v>662671192721</v>
      </c>
      <c r="E871" s="3">
        <v>193423</v>
      </c>
      <c r="F871" s="8" t="s">
        <v>973</v>
      </c>
      <c r="G871" s="14">
        <v>102.36594926428471</v>
      </c>
      <c r="H871" s="35">
        <v>45689</v>
      </c>
      <c r="I871" s="3">
        <v>0.40600000000000003</v>
      </c>
      <c r="J871" s="3" t="s">
        <v>3</v>
      </c>
      <c r="K871" s="11" t="str">
        <f>("10662671192728")</f>
        <v>10662671192728</v>
      </c>
      <c r="L871" s="3">
        <v>30</v>
      </c>
      <c r="M871" s="3">
        <v>2160</v>
      </c>
    </row>
    <row r="872" spans="1:13" x14ac:dyDescent="0.25">
      <c r="A872" s="3" t="s">
        <v>1371</v>
      </c>
      <c r="B872" s="10" t="s">
        <v>1351</v>
      </c>
      <c r="C872" s="3" t="str">
        <f>("755428")</f>
        <v>755428</v>
      </c>
      <c r="D872" s="11" t="str">
        <f>("662671192738")</f>
        <v>662671192738</v>
      </c>
      <c r="E872" s="3">
        <v>193424</v>
      </c>
      <c r="F872" s="8" t="s">
        <v>974</v>
      </c>
      <c r="G872" s="14">
        <v>131.39356814383635</v>
      </c>
      <c r="H872" s="35">
        <v>45689</v>
      </c>
      <c r="I872" s="3">
        <v>0.64600000000000002</v>
      </c>
      <c r="J872" s="3" t="s">
        <v>3</v>
      </c>
      <c r="K872" s="11" t="str">
        <f>("10662671192735")</f>
        <v>10662671192735</v>
      </c>
      <c r="L872" s="3">
        <v>15</v>
      </c>
      <c r="M872" s="3">
        <v>1080</v>
      </c>
    </row>
    <row r="873" spans="1:13" x14ac:dyDescent="0.25">
      <c r="A873" s="3" t="s">
        <v>1371</v>
      </c>
      <c r="B873" s="10" t="s">
        <v>1351</v>
      </c>
      <c r="C873" s="3" t="str">
        <f>("755429")</f>
        <v>755429</v>
      </c>
      <c r="D873" s="11" t="str">
        <f>("662671190901")</f>
        <v>662671190901</v>
      </c>
      <c r="E873" s="3">
        <v>193426</v>
      </c>
      <c r="F873" s="8" t="s">
        <v>975</v>
      </c>
      <c r="G873" s="14">
        <v>462.39048024388319</v>
      </c>
      <c r="H873" s="35">
        <v>45689</v>
      </c>
      <c r="I873" s="3">
        <v>1.5149999999999999</v>
      </c>
      <c r="J873" s="3" t="s">
        <v>3</v>
      </c>
      <c r="K873" s="11" t="str">
        <f>("10662671190908")</f>
        <v>10662671190908</v>
      </c>
      <c r="L873" s="3">
        <v>8</v>
      </c>
      <c r="M873" s="3">
        <v>256</v>
      </c>
    </row>
    <row r="874" spans="1:13" x14ac:dyDescent="0.25">
      <c r="A874" s="3" t="s">
        <v>1371</v>
      </c>
      <c r="B874" s="10" t="s">
        <v>1351</v>
      </c>
      <c r="C874" s="3" t="str">
        <f>("755301")</f>
        <v>755301</v>
      </c>
      <c r="D874" s="11" t="str">
        <f>("662671193315")</f>
        <v>662671193315</v>
      </c>
      <c r="E874" s="3">
        <v>193036</v>
      </c>
      <c r="F874" s="8" t="s">
        <v>976</v>
      </c>
      <c r="G874" s="14">
        <v>203.66222857490592</v>
      </c>
      <c r="H874" s="35">
        <v>45689</v>
      </c>
      <c r="I874" s="3">
        <v>0.48099999999999998</v>
      </c>
      <c r="J874" s="3" t="s">
        <v>3</v>
      </c>
      <c r="K874" s="11" t="str">
        <f>("10662671193312")</f>
        <v>10662671193312</v>
      </c>
      <c r="L874" s="3">
        <v>25</v>
      </c>
      <c r="M874" s="3">
        <v>1200</v>
      </c>
    </row>
    <row r="875" spans="1:13" x14ac:dyDescent="0.25">
      <c r="A875" s="3" t="s">
        <v>1371</v>
      </c>
      <c r="B875" s="10" t="s">
        <v>1351</v>
      </c>
      <c r="C875" s="3" t="str">
        <f>("755300")</f>
        <v>755300</v>
      </c>
      <c r="D875" s="11" t="str">
        <f>("662671191113")</f>
        <v>662671191113</v>
      </c>
      <c r="E875" s="3">
        <v>193035</v>
      </c>
      <c r="F875" s="8" t="s">
        <v>977</v>
      </c>
      <c r="G875" s="14">
        <v>520.28453485928367</v>
      </c>
      <c r="H875" s="35">
        <v>45689</v>
      </c>
      <c r="I875" s="3">
        <v>1.8169999999999999</v>
      </c>
      <c r="J875" s="3" t="s">
        <v>3</v>
      </c>
      <c r="K875" s="11" t="str">
        <f>("10662671191110")</f>
        <v>10662671191110</v>
      </c>
      <c r="L875" s="3">
        <v>20</v>
      </c>
      <c r="M875" s="3">
        <v>360</v>
      </c>
    </row>
    <row r="876" spans="1:13" x14ac:dyDescent="0.25">
      <c r="A876" s="3" t="s">
        <v>1371</v>
      </c>
      <c r="B876" s="10" t="s">
        <v>1351</v>
      </c>
      <c r="C876" s="3" t="str">
        <f>("294684")</f>
        <v>294684</v>
      </c>
      <c r="D876" s="11" t="str">
        <f>("622454606081")</f>
        <v>622454606081</v>
      </c>
      <c r="E876" s="3"/>
      <c r="F876" s="8" t="s">
        <v>978</v>
      </c>
      <c r="G876" s="14">
        <v>43.291154856196385</v>
      </c>
      <c r="H876" s="35">
        <v>45689</v>
      </c>
      <c r="I876" s="3">
        <v>1.3620000000000001</v>
      </c>
      <c r="J876" s="3" t="s">
        <v>979</v>
      </c>
      <c r="K876" s="11" t="str">
        <f>("10622454606088")</f>
        <v>10622454606088</v>
      </c>
      <c r="L876" s="3">
        <v>12</v>
      </c>
      <c r="M876" s="3">
        <v>240</v>
      </c>
    </row>
    <row r="877" spans="1:13" x14ac:dyDescent="0.25">
      <c r="A877" s="3" t="s">
        <v>1371</v>
      </c>
      <c r="B877" s="10" t="s">
        <v>1351</v>
      </c>
      <c r="C877" s="3" t="str">
        <f>("294698")</f>
        <v>294698</v>
      </c>
      <c r="D877" s="11" t="str">
        <f>("622454606227")</f>
        <v>622454606227</v>
      </c>
      <c r="E877" s="3"/>
      <c r="F877" s="8" t="s">
        <v>980</v>
      </c>
      <c r="G877" s="14">
        <v>186.70429655607447</v>
      </c>
      <c r="H877" s="35">
        <v>45689</v>
      </c>
      <c r="I877" s="3">
        <v>2.8879999999999999</v>
      </c>
      <c r="J877" s="3" t="s">
        <v>979</v>
      </c>
      <c r="K877" s="11" t="str">
        <f>("10622454606224")</f>
        <v>10622454606224</v>
      </c>
      <c r="L877" s="3">
        <v>10</v>
      </c>
      <c r="M877" s="3">
        <v>120</v>
      </c>
    </row>
    <row r="878" spans="1:13" x14ac:dyDescent="0.25">
      <c r="A878" s="3" t="s">
        <v>1371</v>
      </c>
      <c r="B878" s="10" t="s">
        <v>1351</v>
      </c>
      <c r="C878" s="3" t="str">
        <f>("294711")</f>
        <v>294711</v>
      </c>
      <c r="D878" s="11" t="str">
        <f>("622454606357")</f>
        <v>622454606357</v>
      </c>
      <c r="E878" s="3"/>
      <c r="F878" s="8" t="s">
        <v>981</v>
      </c>
      <c r="G878" s="14">
        <v>508.26818496611605</v>
      </c>
      <c r="H878" s="35">
        <v>45689</v>
      </c>
      <c r="I878" s="3">
        <v>5.4189999999999996</v>
      </c>
      <c r="J878" s="3" t="s">
        <v>979</v>
      </c>
      <c r="K878" s="11" t="str">
        <f>("00622454606357")</f>
        <v>00622454606357</v>
      </c>
      <c r="L878" s="3">
        <v>1</v>
      </c>
      <c r="M878" s="3"/>
    </row>
    <row r="879" spans="1:13" x14ac:dyDescent="0.25">
      <c r="A879" s="3" t="s">
        <v>1371</v>
      </c>
      <c r="B879" s="10" t="s">
        <v>1351</v>
      </c>
      <c r="C879" s="3" t="str">
        <f>("294725")</f>
        <v>294725</v>
      </c>
      <c r="D879" s="11" t="str">
        <f>("622454606494")</f>
        <v>622454606494</v>
      </c>
      <c r="E879" s="3"/>
      <c r="F879" s="8" t="s">
        <v>982</v>
      </c>
      <c r="G879" s="14">
        <v>629.40903986915362</v>
      </c>
      <c r="H879" s="35">
        <v>45689</v>
      </c>
      <c r="I879" s="3">
        <v>8.5429999999999993</v>
      </c>
      <c r="J879" s="3" t="s">
        <v>979</v>
      </c>
      <c r="K879" s="11" t="str">
        <f>("00622454606494")</f>
        <v>00622454606494</v>
      </c>
      <c r="L879" s="3">
        <v>1</v>
      </c>
      <c r="M879" s="3"/>
    </row>
    <row r="880" spans="1:13" x14ac:dyDescent="0.25">
      <c r="A880" s="3" t="s">
        <v>1371</v>
      </c>
      <c r="B880" s="10" t="s">
        <v>1351</v>
      </c>
      <c r="C880" s="3" t="str">
        <f>("294738")</f>
        <v>294738</v>
      </c>
      <c r="D880" s="11" t="str">
        <f>("622454606623")</f>
        <v>622454606623</v>
      </c>
      <c r="E880" s="3"/>
      <c r="F880" s="8" t="s">
        <v>983</v>
      </c>
      <c r="G880" s="14">
        <v>991.96385314462339</v>
      </c>
      <c r="H880" s="35">
        <v>45689</v>
      </c>
      <c r="I880" s="3">
        <v>11.945</v>
      </c>
      <c r="J880" s="3" t="s">
        <v>979</v>
      </c>
      <c r="K880" s="11" t="str">
        <f>("00622454606623")</f>
        <v>00622454606623</v>
      </c>
      <c r="L880" s="3">
        <v>1</v>
      </c>
      <c r="M880" s="3"/>
    </row>
    <row r="881" spans="1:13" x14ac:dyDescent="0.25">
      <c r="A881" s="3" t="s">
        <v>1371</v>
      </c>
      <c r="B881" s="10" t="s">
        <v>1351</v>
      </c>
      <c r="C881" s="3" t="str">
        <f>("294761")</f>
        <v>294761</v>
      </c>
      <c r="D881" s="11" t="str">
        <f>("622454606852")</f>
        <v>622454606852</v>
      </c>
      <c r="E881" s="3"/>
      <c r="F881" s="8" t="s">
        <v>984</v>
      </c>
      <c r="G881" s="14">
        <v>8267.5637662802255</v>
      </c>
      <c r="H881" s="35">
        <v>45689</v>
      </c>
      <c r="I881" s="3">
        <v>40.023000000000003</v>
      </c>
      <c r="J881" s="3" t="s">
        <v>979</v>
      </c>
      <c r="K881" s="11" t="str">
        <f>("00622454606852")</f>
        <v>00622454606852</v>
      </c>
      <c r="L881" s="3">
        <v>1</v>
      </c>
      <c r="M881" s="3"/>
    </row>
    <row r="882" spans="1:13" x14ac:dyDescent="0.25">
      <c r="A882" s="3" t="s">
        <v>1371</v>
      </c>
      <c r="B882" s="10" t="s">
        <v>1351</v>
      </c>
      <c r="C882" s="3" t="str">
        <f>("294776")</f>
        <v>294776</v>
      </c>
      <c r="D882" s="11" t="str">
        <f>("622454607002")</f>
        <v>622454607002</v>
      </c>
      <c r="E882" s="3"/>
      <c r="F882" s="8" t="s">
        <v>985</v>
      </c>
      <c r="G882" s="14">
        <v>13793.184514403227</v>
      </c>
      <c r="H882" s="35">
        <v>45689</v>
      </c>
      <c r="I882" s="3">
        <v>72.38</v>
      </c>
      <c r="J882" s="3" t="s">
        <v>979</v>
      </c>
      <c r="K882" s="11" t="str">
        <f>("00622454607002")</f>
        <v>00622454607002</v>
      </c>
      <c r="L882" s="3">
        <v>1</v>
      </c>
      <c r="M882" s="3"/>
    </row>
    <row r="883" spans="1:13" x14ac:dyDescent="0.25">
      <c r="A883" s="3" t="s">
        <v>1371</v>
      </c>
      <c r="B883" s="10" t="s">
        <v>1351</v>
      </c>
      <c r="C883" s="3" t="str">
        <f>("294782")</f>
        <v>294782</v>
      </c>
      <c r="D883" s="11" t="str">
        <f>("622454607064")</f>
        <v>622454607064</v>
      </c>
      <c r="E883" s="3"/>
      <c r="F883" s="8" t="s">
        <v>986</v>
      </c>
      <c r="G883" s="14">
        <v>2833.1808831802746</v>
      </c>
      <c r="H883" s="35">
        <v>45689</v>
      </c>
      <c r="I883" s="3">
        <v>18.536000000000001</v>
      </c>
      <c r="J883" s="3" t="s">
        <v>979</v>
      </c>
      <c r="K883" s="11" t="str">
        <f>("00622454607064")</f>
        <v>00622454607064</v>
      </c>
      <c r="L883" s="3">
        <v>1</v>
      </c>
      <c r="M883" s="3"/>
    </row>
    <row r="884" spans="1:13" x14ac:dyDescent="0.25">
      <c r="A884" s="3" t="s">
        <v>1371</v>
      </c>
      <c r="B884" s="10" t="s">
        <v>1351</v>
      </c>
      <c r="C884" s="3" t="str">
        <f>("294785")</f>
        <v>294785</v>
      </c>
      <c r="D884" s="11" t="str">
        <f>("622454607095")</f>
        <v>622454607095</v>
      </c>
      <c r="E884" s="3"/>
      <c r="F884" s="8" t="s">
        <v>987</v>
      </c>
      <c r="G884" s="14">
        <v>3826.3155120687024</v>
      </c>
      <c r="H884" s="35">
        <v>45689</v>
      </c>
      <c r="I884" s="3">
        <v>20.962</v>
      </c>
      <c r="J884" s="3" t="s">
        <v>979</v>
      </c>
      <c r="K884" s="11" t="str">
        <f>("00622454607095")</f>
        <v>00622454607095</v>
      </c>
      <c r="L884" s="3">
        <v>1</v>
      </c>
      <c r="M884" s="3"/>
    </row>
    <row r="885" spans="1:13" x14ac:dyDescent="0.25">
      <c r="A885" s="3" t="s">
        <v>1371</v>
      </c>
      <c r="B885" s="10" t="s">
        <v>1351</v>
      </c>
      <c r="C885" s="3" t="str">
        <f>("294788")</f>
        <v>294788</v>
      </c>
      <c r="D885" s="11" t="str">
        <f>("622454607125")</f>
        <v>622454607125</v>
      </c>
      <c r="E885" s="3"/>
      <c r="F885" s="8" t="s">
        <v>988</v>
      </c>
      <c r="G885" s="14">
        <v>8308.6511079716147</v>
      </c>
      <c r="H885" s="35">
        <v>45689</v>
      </c>
      <c r="I885" s="3">
        <v>48.771000000000001</v>
      </c>
      <c r="J885" s="3" t="s">
        <v>979</v>
      </c>
      <c r="K885" s="11" t="str">
        <f>("00622454607125")</f>
        <v>00622454607125</v>
      </c>
      <c r="L885" s="3">
        <v>1</v>
      </c>
      <c r="M885" s="3"/>
    </row>
    <row r="886" spans="1:13" x14ac:dyDescent="0.25">
      <c r="A886" s="3" t="s">
        <v>1371</v>
      </c>
      <c r="B886" s="10" t="s">
        <v>1351</v>
      </c>
      <c r="C886" s="3" t="str">
        <f>("294683")</f>
        <v>294683</v>
      </c>
      <c r="D886" s="11" t="str">
        <f>("622454606074")</f>
        <v>622454606074</v>
      </c>
      <c r="E886" s="3"/>
      <c r="F886" s="8" t="s">
        <v>989</v>
      </c>
      <c r="G886" s="14">
        <v>257.83236645025141</v>
      </c>
      <c r="H886" s="35">
        <v>45689</v>
      </c>
      <c r="I886" s="3">
        <v>1.3620000000000001</v>
      </c>
      <c r="J886" s="3" t="s">
        <v>979</v>
      </c>
      <c r="K886" s="11" t="str">
        <f>("00622454606074")</f>
        <v>00622454606074</v>
      </c>
      <c r="L886" s="3">
        <v>1</v>
      </c>
      <c r="M886" s="3"/>
    </row>
    <row r="887" spans="1:13" x14ac:dyDescent="0.25">
      <c r="A887" s="3" t="s">
        <v>1371</v>
      </c>
      <c r="B887" s="10" t="s">
        <v>1351</v>
      </c>
      <c r="C887" s="3" t="str">
        <f>("294697")</f>
        <v>294697</v>
      </c>
      <c r="D887" s="11" t="str">
        <f>("622454606210")</f>
        <v>622454606210</v>
      </c>
      <c r="E887" s="3"/>
      <c r="F887" s="8" t="s">
        <v>990</v>
      </c>
      <c r="G887" s="14">
        <v>348.57437351121916</v>
      </c>
      <c r="H887" s="35">
        <v>45689</v>
      </c>
      <c r="I887" s="3">
        <v>2.9870000000000001</v>
      </c>
      <c r="J887" s="3" t="s">
        <v>979</v>
      </c>
      <c r="K887" s="11" t="str">
        <f>("00622454606210")</f>
        <v>00622454606210</v>
      </c>
      <c r="L887" s="3">
        <v>1</v>
      </c>
      <c r="M887" s="3"/>
    </row>
    <row r="888" spans="1:13" x14ac:dyDescent="0.25">
      <c r="A888" s="3" t="s">
        <v>1371</v>
      </c>
      <c r="B888" s="10" t="s">
        <v>1351</v>
      </c>
      <c r="C888" s="3" t="str">
        <f>("294710")</f>
        <v>294710</v>
      </c>
      <c r="D888" s="11" t="str">
        <f>("622454606340")</f>
        <v>622454606340</v>
      </c>
      <c r="E888" s="3"/>
      <c r="F888" s="8" t="s">
        <v>991</v>
      </c>
      <c r="G888" s="14">
        <v>644.50516004808821</v>
      </c>
      <c r="H888" s="35">
        <v>45689</v>
      </c>
      <c r="I888" s="3">
        <v>6.34</v>
      </c>
      <c r="J888" s="3" t="s">
        <v>979</v>
      </c>
      <c r="K888" s="11" t="str">
        <f>("00622454606340")</f>
        <v>00622454606340</v>
      </c>
      <c r="L888" s="3">
        <v>1</v>
      </c>
      <c r="M888" s="3"/>
    </row>
    <row r="889" spans="1:13" x14ac:dyDescent="0.25">
      <c r="A889" s="3" t="s">
        <v>1371</v>
      </c>
      <c r="B889" s="10" t="s">
        <v>1351</v>
      </c>
      <c r="C889" s="3" t="str">
        <f>("294724")</f>
        <v>294724</v>
      </c>
      <c r="D889" s="11" t="str">
        <f>("622454606487")</f>
        <v>622454606487</v>
      </c>
      <c r="E889" s="3"/>
      <c r="F889" s="8" t="s">
        <v>992</v>
      </c>
      <c r="G889" s="14">
        <v>1090.0748604754178</v>
      </c>
      <c r="H889" s="35">
        <v>45689</v>
      </c>
      <c r="I889" s="3">
        <v>2E-3</v>
      </c>
      <c r="J889" s="3" t="s">
        <v>979</v>
      </c>
      <c r="K889" s="11" t="str">
        <f>("00622454606487")</f>
        <v>00622454606487</v>
      </c>
      <c r="L889" s="3">
        <v>1</v>
      </c>
      <c r="M889" s="3"/>
    </row>
    <row r="890" spans="1:13" x14ac:dyDescent="0.25">
      <c r="A890" s="3" t="s">
        <v>1371</v>
      </c>
      <c r="B890" s="10" t="s">
        <v>1351</v>
      </c>
      <c r="C890" s="3" t="str">
        <f>("294737")</f>
        <v>294737</v>
      </c>
      <c r="D890" s="11" t="str">
        <f>("622454606616")</f>
        <v>622454606616</v>
      </c>
      <c r="E890" s="3"/>
      <c r="F890" s="8" t="s">
        <v>993</v>
      </c>
      <c r="G890" s="14">
        <v>1267.0961529386173</v>
      </c>
      <c r="H890" s="35">
        <v>45689</v>
      </c>
      <c r="I890" s="3">
        <v>2E-3</v>
      </c>
      <c r="J890" s="3" t="s">
        <v>979</v>
      </c>
      <c r="K890" s="11" t="str">
        <f>("00622454606616")</f>
        <v>00622454606616</v>
      </c>
      <c r="L890" s="3">
        <v>1</v>
      </c>
      <c r="M890" s="3"/>
    </row>
    <row r="891" spans="1:13" x14ac:dyDescent="0.25">
      <c r="A891" s="3" t="s">
        <v>1371</v>
      </c>
      <c r="B891" s="10" t="s">
        <v>1351</v>
      </c>
      <c r="C891" s="3" t="str">
        <f>("294746")</f>
        <v>294746</v>
      </c>
      <c r="D891" s="11" t="str">
        <f>("622454606708")</f>
        <v>622454606708</v>
      </c>
      <c r="E891" s="3"/>
      <c r="F891" s="8" t="s">
        <v>994</v>
      </c>
      <c r="G891" s="14">
        <v>2833.1808831802746</v>
      </c>
      <c r="H891" s="35">
        <v>45689</v>
      </c>
      <c r="I891" s="3">
        <v>2E-3</v>
      </c>
      <c r="J891" s="3" t="s">
        <v>979</v>
      </c>
      <c r="K891" s="11" t="str">
        <f>("00622454606708")</f>
        <v>00622454606708</v>
      </c>
      <c r="L891" s="3">
        <v>1</v>
      </c>
      <c r="M891" s="3"/>
    </row>
    <row r="892" spans="1:13" x14ac:dyDescent="0.25">
      <c r="A892" s="3" t="s">
        <v>1371</v>
      </c>
      <c r="B892" s="10" t="s">
        <v>1351</v>
      </c>
      <c r="C892" s="3" t="str">
        <f>("294753")</f>
        <v>294753</v>
      </c>
      <c r="D892" s="11" t="str">
        <f>("622454606777")</f>
        <v>622454606777</v>
      </c>
      <c r="E892" s="3"/>
      <c r="F892" s="8" t="s">
        <v>995</v>
      </c>
      <c r="G892" s="14">
        <v>3826.3155120687024</v>
      </c>
      <c r="H892" s="35">
        <v>45689</v>
      </c>
      <c r="I892" s="3">
        <v>2E-3</v>
      </c>
      <c r="J892" s="3" t="s">
        <v>979</v>
      </c>
      <c r="K892" s="11" t="str">
        <f>("00622454606777")</f>
        <v>00622454606777</v>
      </c>
      <c r="L892" s="3">
        <v>1</v>
      </c>
      <c r="M892" s="3"/>
    </row>
    <row r="893" spans="1:13" x14ac:dyDescent="0.25">
      <c r="A893" s="3" t="s">
        <v>1371</v>
      </c>
      <c r="B893" s="10" t="s">
        <v>1351</v>
      </c>
      <c r="C893" s="3" t="str">
        <f>("294760")</f>
        <v>294760</v>
      </c>
      <c r="D893" s="11" t="str">
        <f>("622454606845")</f>
        <v>622454606845</v>
      </c>
      <c r="E893" s="3"/>
      <c r="F893" s="8" t="s">
        <v>996</v>
      </c>
      <c r="G893" s="14">
        <v>6279.3110766550435</v>
      </c>
      <c r="H893" s="35">
        <v>45689</v>
      </c>
      <c r="I893" s="3">
        <v>2E-3</v>
      </c>
      <c r="J893" s="3" t="s">
        <v>979</v>
      </c>
      <c r="K893" s="11" t="str">
        <f>("00622454606845")</f>
        <v>00622454606845</v>
      </c>
      <c r="L893" s="3">
        <v>1</v>
      </c>
      <c r="M893" s="3"/>
    </row>
    <row r="894" spans="1:13" x14ac:dyDescent="0.25">
      <c r="A894" s="3" t="s">
        <v>1371</v>
      </c>
      <c r="B894" s="10" t="s">
        <v>1351</v>
      </c>
      <c r="C894" s="3" t="str">
        <f>("294768")</f>
        <v>294768</v>
      </c>
      <c r="D894" s="11" t="str">
        <f>("622454606920")</f>
        <v>622454606920</v>
      </c>
      <c r="E894" s="3"/>
      <c r="F894" s="8" t="s">
        <v>997</v>
      </c>
      <c r="G894" s="14">
        <v>8308.7199771330143</v>
      </c>
      <c r="H894" s="35">
        <v>45689</v>
      </c>
      <c r="I894" s="3">
        <v>2E-3</v>
      </c>
      <c r="J894" s="3" t="s">
        <v>979</v>
      </c>
      <c r="K894" s="11" t="str">
        <f>("00622454606920")</f>
        <v>00622454606920</v>
      </c>
      <c r="L894" s="3">
        <v>1</v>
      </c>
      <c r="M894" s="3"/>
    </row>
    <row r="895" spans="1:13" x14ac:dyDescent="0.25">
      <c r="A895" s="3" t="s">
        <v>1371</v>
      </c>
      <c r="B895" s="10" t="s">
        <v>1351</v>
      </c>
      <c r="C895" s="3" t="str">
        <f>("294775")</f>
        <v>294775</v>
      </c>
      <c r="D895" s="11" t="str">
        <f>("622454606999")</f>
        <v>622454606999</v>
      </c>
      <c r="E895" s="3"/>
      <c r="F895" s="8" t="s">
        <v>998</v>
      </c>
      <c r="G895" s="14">
        <v>10476.087581727967</v>
      </c>
      <c r="H895" s="35">
        <v>45689</v>
      </c>
      <c r="I895" s="3">
        <v>2E-3</v>
      </c>
      <c r="J895" s="3" t="s">
        <v>979</v>
      </c>
      <c r="K895" s="11" t="str">
        <f>("00622454606999")</f>
        <v>00622454606999</v>
      </c>
      <c r="L895" s="3">
        <v>1</v>
      </c>
      <c r="M895" s="3"/>
    </row>
    <row r="896" spans="1:13" x14ac:dyDescent="0.25">
      <c r="A896" s="3" t="s">
        <v>1371</v>
      </c>
      <c r="B896" s="10" t="s">
        <v>1351</v>
      </c>
      <c r="C896" s="3" t="str">
        <f>("294679")</f>
        <v>294679</v>
      </c>
      <c r="D896" s="11" t="str">
        <f>("622454606036")</f>
        <v>622454606036</v>
      </c>
      <c r="E896" s="3"/>
      <c r="F896" s="8" t="s">
        <v>999</v>
      </c>
      <c r="G896" s="14">
        <v>221.51077072776016</v>
      </c>
      <c r="H896" s="35">
        <v>45689</v>
      </c>
      <c r="I896" s="3">
        <v>1.5009999999999999</v>
      </c>
      <c r="J896" s="3" t="s">
        <v>979</v>
      </c>
      <c r="K896" s="11" t="str">
        <f>("00622454606036")</f>
        <v>00622454606036</v>
      </c>
      <c r="L896" s="3">
        <v>1</v>
      </c>
      <c r="M896" s="3"/>
    </row>
    <row r="897" spans="1:13" x14ac:dyDescent="0.25">
      <c r="A897" s="3" t="s">
        <v>1371</v>
      </c>
      <c r="B897" s="10" t="s">
        <v>1351</v>
      </c>
      <c r="C897" s="3" t="str">
        <f>("294690")</f>
        <v>294690</v>
      </c>
      <c r="D897" s="11" t="str">
        <f>("622454606142")</f>
        <v>622454606142</v>
      </c>
      <c r="E897" s="3"/>
      <c r="F897" s="8" t="s">
        <v>1000</v>
      </c>
      <c r="G897" s="14">
        <v>423.98610524449163</v>
      </c>
      <c r="H897" s="35">
        <v>45689</v>
      </c>
      <c r="I897" s="3">
        <v>3.0950000000000002</v>
      </c>
      <c r="J897" s="3" t="s">
        <v>979</v>
      </c>
      <c r="K897" s="11" t="str">
        <f>("10622454606149")</f>
        <v>10622454606149</v>
      </c>
      <c r="L897" s="3">
        <v>8</v>
      </c>
      <c r="M897" s="3">
        <v>144</v>
      </c>
    </row>
    <row r="898" spans="1:13" x14ac:dyDescent="0.25">
      <c r="A898" s="3" t="s">
        <v>1371</v>
      </c>
      <c r="B898" s="10" t="s">
        <v>1351</v>
      </c>
      <c r="C898" s="3" t="str">
        <f>("294704")</f>
        <v>294704</v>
      </c>
      <c r="D898" s="11" t="str">
        <f>("622454606289")</f>
        <v>622454606289</v>
      </c>
      <c r="E898" s="3"/>
      <c r="F898" s="8" t="s">
        <v>1001</v>
      </c>
      <c r="G898" s="14">
        <v>1102.2509282109818</v>
      </c>
      <c r="H898" s="35">
        <v>45689</v>
      </c>
      <c r="I898" s="3">
        <v>5.6840000000000002</v>
      </c>
      <c r="J898" s="3" t="s">
        <v>979</v>
      </c>
      <c r="K898" s="11" t="str">
        <f>("00622454606289")</f>
        <v>00622454606289</v>
      </c>
      <c r="L898" s="3">
        <v>1</v>
      </c>
      <c r="M898" s="3"/>
    </row>
    <row r="899" spans="1:13" x14ac:dyDescent="0.25">
      <c r="A899" s="3" t="s">
        <v>1371</v>
      </c>
      <c r="B899" s="10" t="s">
        <v>1351</v>
      </c>
      <c r="C899" s="3" t="str">
        <f>("294718")</f>
        <v>294718</v>
      </c>
      <c r="D899" s="11" t="str">
        <f>("622454606425")</f>
        <v>622454606425</v>
      </c>
      <c r="E899" s="3"/>
      <c r="F899" s="8" t="s">
        <v>1002</v>
      </c>
      <c r="G899" s="14">
        <v>1479.1305270577034</v>
      </c>
      <c r="H899" s="35">
        <v>45689</v>
      </c>
      <c r="I899" s="3">
        <v>9.9339999999999993</v>
      </c>
      <c r="J899" s="3" t="s">
        <v>979</v>
      </c>
      <c r="K899" s="11" t="str">
        <f>("00622454606425")</f>
        <v>00622454606425</v>
      </c>
      <c r="L899" s="3">
        <v>1</v>
      </c>
      <c r="M899" s="3"/>
    </row>
    <row r="900" spans="1:13" x14ac:dyDescent="0.25">
      <c r="A900" s="3" t="s">
        <v>1371</v>
      </c>
      <c r="B900" s="10" t="s">
        <v>1351</v>
      </c>
      <c r="C900" s="3" t="str">
        <f>("294731")</f>
        <v>294731</v>
      </c>
      <c r="D900" s="11" t="str">
        <f>("622454606555")</f>
        <v>622454606555</v>
      </c>
      <c r="E900" s="3"/>
      <c r="F900" s="8" t="s">
        <v>1003</v>
      </c>
      <c r="G900" s="14">
        <v>2177.4775974885056</v>
      </c>
      <c r="H900" s="35">
        <v>45689</v>
      </c>
      <c r="I900" s="3">
        <v>15.196</v>
      </c>
      <c r="J900" s="3" t="s">
        <v>979</v>
      </c>
      <c r="K900" s="11" t="str">
        <f>("00622454606555")</f>
        <v>00622454606555</v>
      </c>
      <c r="L900" s="3">
        <v>1</v>
      </c>
      <c r="M900" s="3"/>
    </row>
    <row r="901" spans="1:13" x14ac:dyDescent="0.25">
      <c r="A901" s="3" t="s">
        <v>1371</v>
      </c>
      <c r="B901" s="10" t="s">
        <v>1351</v>
      </c>
      <c r="C901" s="3" t="str">
        <f>("294757")</f>
        <v>294757</v>
      </c>
      <c r="D901" s="11" t="str">
        <f>("622454606814")</f>
        <v>622454606814</v>
      </c>
      <c r="E901" s="3"/>
      <c r="F901" s="8" t="s">
        <v>1004</v>
      </c>
      <c r="G901" s="14">
        <v>7070.7968009635424</v>
      </c>
      <c r="H901" s="35">
        <v>45689</v>
      </c>
      <c r="I901" s="3">
        <v>47.295999999999999</v>
      </c>
      <c r="J901" s="3" t="s">
        <v>979</v>
      </c>
      <c r="K901" s="11" t="str">
        <f>("00622454606814")</f>
        <v>00622454606814</v>
      </c>
      <c r="L901" s="3">
        <v>1</v>
      </c>
      <c r="M901" s="3"/>
    </row>
    <row r="902" spans="1:13" x14ac:dyDescent="0.25">
      <c r="A902" s="3" t="s">
        <v>1371</v>
      </c>
      <c r="B902" s="10" t="s">
        <v>1351</v>
      </c>
      <c r="C902" s="3" t="str">
        <f>("294772")</f>
        <v>294772</v>
      </c>
      <c r="D902" s="11" t="str">
        <f>("622454606968")</f>
        <v>622454606968</v>
      </c>
      <c r="E902" s="3"/>
      <c r="F902" s="8" t="s">
        <v>1005</v>
      </c>
      <c r="G902" s="14">
        <v>11514.207546843036</v>
      </c>
      <c r="H902" s="35">
        <v>45689</v>
      </c>
      <c r="I902" s="3">
        <v>2E-3</v>
      </c>
      <c r="J902" s="3" t="s">
        <v>979</v>
      </c>
      <c r="K902" s="11" t="str">
        <f>("00622454606968")</f>
        <v>00622454606968</v>
      </c>
      <c r="L902" s="3">
        <v>1</v>
      </c>
      <c r="M902" s="3"/>
    </row>
    <row r="903" spans="1:13" x14ac:dyDescent="0.25">
      <c r="A903" s="3" t="s">
        <v>1371</v>
      </c>
      <c r="B903" s="10" t="s">
        <v>1351</v>
      </c>
      <c r="C903" s="3" t="str">
        <f>("294781")</f>
        <v>294781</v>
      </c>
      <c r="D903" s="11" t="str">
        <f>("622454607057")</f>
        <v>622454607057</v>
      </c>
      <c r="E903" s="3"/>
      <c r="F903" s="8" t="s">
        <v>1006</v>
      </c>
      <c r="G903" s="14">
        <v>2463.9182135844203</v>
      </c>
      <c r="H903" s="35">
        <v>45689</v>
      </c>
      <c r="I903" s="3">
        <v>22.263999999999999</v>
      </c>
      <c r="J903" s="3" t="s">
        <v>979</v>
      </c>
      <c r="K903" s="11" t="str">
        <f>("00622454607057")</f>
        <v>00622454607057</v>
      </c>
      <c r="L903" s="3">
        <v>1</v>
      </c>
      <c r="M903" s="3"/>
    </row>
    <row r="904" spans="1:13" x14ac:dyDescent="0.25">
      <c r="A904" s="3" t="s">
        <v>1371</v>
      </c>
      <c r="B904" s="10" t="s">
        <v>1351</v>
      </c>
      <c r="C904" s="3" t="str">
        <f>("294784")</f>
        <v>294784</v>
      </c>
      <c r="D904" s="11" t="str">
        <f>("622454607088")</f>
        <v>622454607088</v>
      </c>
      <c r="E904" s="3"/>
      <c r="F904" s="8" t="s">
        <v>1007</v>
      </c>
      <c r="G904" s="14">
        <v>3185.6807988913083</v>
      </c>
      <c r="H904" s="35">
        <v>45689</v>
      </c>
      <c r="I904" s="3">
        <v>26.949000000000002</v>
      </c>
      <c r="J904" s="3" t="s">
        <v>979</v>
      </c>
      <c r="K904" s="11" t="str">
        <f>("00622454607088")</f>
        <v>00622454607088</v>
      </c>
      <c r="L904" s="3">
        <v>1</v>
      </c>
      <c r="M904" s="3"/>
    </row>
    <row r="905" spans="1:13" x14ac:dyDescent="0.25">
      <c r="A905" s="3" t="s">
        <v>1371</v>
      </c>
      <c r="B905" s="10" t="s">
        <v>1351</v>
      </c>
      <c r="C905" s="3" t="str">
        <f>("294787")</f>
        <v>294787</v>
      </c>
      <c r="D905" s="11" t="str">
        <f>("622454607118")</f>
        <v>622454607118</v>
      </c>
      <c r="E905" s="3"/>
      <c r="F905" s="8" t="s">
        <v>1008</v>
      </c>
      <c r="G905" s="14">
        <v>8404.1175395046412</v>
      </c>
      <c r="H905" s="35">
        <v>45689</v>
      </c>
      <c r="I905" s="3">
        <v>2E-3</v>
      </c>
      <c r="J905" s="3" t="s">
        <v>979</v>
      </c>
      <c r="K905" s="11" t="str">
        <f>("00622454607118")</f>
        <v>00622454607118</v>
      </c>
      <c r="L905" s="3">
        <v>1</v>
      </c>
      <c r="M905" s="3"/>
    </row>
    <row r="906" spans="1:13" x14ac:dyDescent="0.25">
      <c r="A906" s="3" t="s">
        <v>1371</v>
      </c>
      <c r="B906" s="10" t="s">
        <v>1351</v>
      </c>
      <c r="C906" s="3" t="str">
        <f>("294687")</f>
        <v>294687</v>
      </c>
      <c r="D906" s="11" t="str">
        <f>("622454606111")</f>
        <v>622454606111</v>
      </c>
      <c r="E906" s="3"/>
      <c r="F906" s="8" t="s">
        <v>1009</v>
      </c>
      <c r="G906" s="14">
        <v>221.51077072776016</v>
      </c>
      <c r="H906" s="35">
        <v>45689</v>
      </c>
      <c r="I906" s="3">
        <v>1.98</v>
      </c>
      <c r="J906" s="3" t="s">
        <v>979</v>
      </c>
      <c r="K906" s="11" t="str">
        <f>("10622454606118")</f>
        <v>10622454606118</v>
      </c>
      <c r="L906" s="3">
        <v>3</v>
      </c>
      <c r="M906" s="3">
        <v>180</v>
      </c>
    </row>
    <row r="907" spans="1:13" x14ac:dyDescent="0.25">
      <c r="A907" s="3" t="s">
        <v>1371</v>
      </c>
      <c r="B907" s="10" t="s">
        <v>1351</v>
      </c>
      <c r="C907" s="3" t="str">
        <f>("294700")</f>
        <v>294700</v>
      </c>
      <c r="D907" s="11" t="str">
        <f>("622454606241")</f>
        <v>622454606241</v>
      </c>
      <c r="E907" s="3"/>
      <c r="F907" s="8" t="s">
        <v>1010</v>
      </c>
      <c r="G907" s="14">
        <v>423.98610524449163</v>
      </c>
      <c r="H907" s="35">
        <v>45689</v>
      </c>
      <c r="I907" s="3">
        <v>3.8069999999999999</v>
      </c>
      <c r="J907" s="3" t="s">
        <v>979</v>
      </c>
      <c r="K907" s="11" t="str">
        <f>("00622454606241")</f>
        <v>00622454606241</v>
      </c>
      <c r="L907" s="3">
        <v>1</v>
      </c>
      <c r="M907" s="3"/>
    </row>
    <row r="908" spans="1:13" x14ac:dyDescent="0.25">
      <c r="A908" s="3" t="s">
        <v>1371</v>
      </c>
      <c r="B908" s="10" t="s">
        <v>1351</v>
      </c>
      <c r="C908" s="3" t="str">
        <f>("294713")</f>
        <v>294713</v>
      </c>
      <c r="D908" s="11" t="str">
        <f>("622454606371")</f>
        <v>622454606371</v>
      </c>
      <c r="E908" s="3"/>
      <c r="F908" s="8" t="s">
        <v>1011</v>
      </c>
      <c r="G908" s="14">
        <v>1102.2509282109818</v>
      </c>
      <c r="H908" s="35">
        <v>45689</v>
      </c>
      <c r="I908" s="3">
        <v>4.78</v>
      </c>
      <c r="J908" s="3" t="s">
        <v>979</v>
      </c>
      <c r="K908" s="11" t="str">
        <f>("00622454606371")</f>
        <v>00622454606371</v>
      </c>
      <c r="L908" s="3">
        <v>1</v>
      </c>
      <c r="M908" s="3"/>
    </row>
    <row r="909" spans="1:13" x14ac:dyDescent="0.25">
      <c r="A909" s="3" t="s">
        <v>1371</v>
      </c>
      <c r="B909" s="10" t="s">
        <v>1351</v>
      </c>
      <c r="C909" s="3" t="str">
        <f>("294727")</f>
        <v>294727</v>
      </c>
      <c r="D909" s="11" t="str">
        <f>("622454606517")</f>
        <v>622454606517</v>
      </c>
      <c r="E909" s="3"/>
      <c r="F909" s="8" t="s">
        <v>1012</v>
      </c>
      <c r="G909" s="14">
        <v>1479.1305270577034</v>
      </c>
      <c r="H909" s="35">
        <v>45689</v>
      </c>
      <c r="I909" s="3">
        <v>11.856</v>
      </c>
      <c r="J909" s="3" t="s">
        <v>979</v>
      </c>
      <c r="K909" s="11" t="str">
        <f>("00622454606517")</f>
        <v>00622454606517</v>
      </c>
      <c r="L909" s="3">
        <v>1</v>
      </c>
      <c r="M909" s="3"/>
    </row>
    <row r="910" spans="1:13" x14ac:dyDescent="0.25">
      <c r="A910" s="3" t="s">
        <v>1371</v>
      </c>
      <c r="B910" s="10" t="s">
        <v>1351</v>
      </c>
      <c r="C910" s="3" t="str">
        <f>("294740")</f>
        <v>294740</v>
      </c>
      <c r="D910" s="11" t="str">
        <f>("622454606647")</f>
        <v>622454606647</v>
      </c>
      <c r="E910" s="3"/>
      <c r="F910" s="8" t="s">
        <v>1013</v>
      </c>
      <c r="G910" s="14">
        <v>2177.4775974885056</v>
      </c>
      <c r="H910" s="35">
        <v>45689</v>
      </c>
      <c r="I910" s="3">
        <v>17.443000000000001</v>
      </c>
      <c r="J910" s="3" t="s">
        <v>979</v>
      </c>
      <c r="K910" s="11" t="str">
        <f>("00622454606647")</f>
        <v>00622454606647</v>
      </c>
      <c r="L910" s="3">
        <v>1</v>
      </c>
      <c r="M910" s="3"/>
    </row>
    <row r="911" spans="1:13" x14ac:dyDescent="0.25">
      <c r="A911" s="3" t="s">
        <v>1371</v>
      </c>
      <c r="B911" s="10" t="s">
        <v>1351</v>
      </c>
      <c r="C911" s="3" t="str">
        <f>("294763")</f>
        <v>294763</v>
      </c>
      <c r="D911" s="11" t="str">
        <f>("622454606876")</f>
        <v>622454606876</v>
      </c>
      <c r="E911" s="3"/>
      <c r="F911" s="8" t="s">
        <v>1014</v>
      </c>
      <c r="G911" s="14">
        <v>9838.7999097946195</v>
      </c>
      <c r="H911" s="35">
        <v>45689</v>
      </c>
      <c r="I911" s="3">
        <v>44.52</v>
      </c>
      <c r="J911" s="3" t="s">
        <v>979</v>
      </c>
      <c r="K911" s="11" t="str">
        <f>("00622454606876")</f>
        <v>00622454606876</v>
      </c>
      <c r="L911" s="3">
        <v>1</v>
      </c>
      <c r="M911" s="3"/>
    </row>
    <row r="912" spans="1:13" x14ac:dyDescent="0.25">
      <c r="A912" s="3" t="s">
        <v>1371</v>
      </c>
      <c r="B912" s="10" t="s">
        <v>1351</v>
      </c>
      <c r="C912" s="3" t="str">
        <f>("294778")</f>
        <v>294778</v>
      </c>
      <c r="D912" s="11" t="str">
        <f>("622454607026")</f>
        <v>622454607026</v>
      </c>
      <c r="E912" s="3"/>
      <c r="F912" s="8" t="s">
        <v>1015</v>
      </c>
      <c r="G912" s="14">
        <v>16164.942016201838</v>
      </c>
      <c r="H912" s="35">
        <v>45689</v>
      </c>
      <c r="I912" s="3">
        <v>89.462999999999994</v>
      </c>
      <c r="J912" s="3" t="s">
        <v>979</v>
      </c>
      <c r="K912" s="11" t="str">
        <f>("00622454607026")</f>
        <v>00622454607026</v>
      </c>
      <c r="L912" s="3">
        <v>1</v>
      </c>
      <c r="M912" s="3"/>
    </row>
    <row r="913" spans="1:13" x14ac:dyDescent="0.25">
      <c r="A913" s="3" t="s">
        <v>1371</v>
      </c>
      <c r="B913" s="10" t="s">
        <v>1351</v>
      </c>
      <c r="C913" s="3" t="str">
        <f>("294783")</f>
        <v>294783</v>
      </c>
      <c r="D913" s="11" t="str">
        <f>("622454607071")</f>
        <v>622454607071</v>
      </c>
      <c r="E913" s="3"/>
      <c r="F913" s="8" t="s">
        <v>1016</v>
      </c>
      <c r="G913" s="14">
        <v>3974.7698763830776</v>
      </c>
      <c r="H913" s="35">
        <v>45689</v>
      </c>
      <c r="I913" s="3">
        <v>21.260999999999999</v>
      </c>
      <c r="J913" s="3" t="s">
        <v>979</v>
      </c>
      <c r="K913" s="11" t="str">
        <f>("00622454607071")</f>
        <v>00622454607071</v>
      </c>
      <c r="L913" s="3">
        <v>1</v>
      </c>
      <c r="M913" s="3"/>
    </row>
    <row r="914" spans="1:13" x14ac:dyDescent="0.25">
      <c r="A914" s="3" t="s">
        <v>1371</v>
      </c>
      <c r="B914" s="10" t="s">
        <v>1351</v>
      </c>
      <c r="C914" s="3" t="str">
        <f>("294786")</f>
        <v>294786</v>
      </c>
      <c r="D914" s="11" t="str">
        <f>("622454607101")</f>
        <v>622454607101</v>
      </c>
      <c r="E914" s="3"/>
      <c r="F914" s="8" t="s">
        <v>1017</v>
      </c>
      <c r="G914" s="14">
        <v>7367.4438267789747</v>
      </c>
      <c r="H914" s="35">
        <v>45689</v>
      </c>
      <c r="I914" s="3">
        <v>2E-3</v>
      </c>
      <c r="J914" s="3" t="s">
        <v>979</v>
      </c>
      <c r="K914" s="11" t="str">
        <f>("00622454607101")</f>
        <v>00622454607101</v>
      </c>
      <c r="L914" s="3">
        <v>1</v>
      </c>
      <c r="M914" s="3"/>
    </row>
    <row r="915" spans="1:13" x14ac:dyDescent="0.25">
      <c r="A915" s="3" t="s">
        <v>1371</v>
      </c>
      <c r="B915" s="10" t="s">
        <v>1351</v>
      </c>
      <c r="C915" s="3" t="str">
        <f>("294789")</f>
        <v>294789</v>
      </c>
      <c r="D915" s="11" t="str">
        <f>("622454607132")</f>
        <v>622454607132</v>
      </c>
      <c r="E915" s="3"/>
      <c r="F915" s="8" t="s">
        <v>1018</v>
      </c>
      <c r="G915" s="14">
        <v>13408.384961995478</v>
      </c>
      <c r="H915" s="35">
        <v>45689</v>
      </c>
      <c r="I915" s="3">
        <v>56.593000000000004</v>
      </c>
      <c r="J915" s="3" t="s">
        <v>979</v>
      </c>
      <c r="K915" s="11" t="str">
        <f>("00622454607132")</f>
        <v>00622454607132</v>
      </c>
      <c r="L915" s="3">
        <v>1</v>
      </c>
      <c r="M915" s="3"/>
    </row>
    <row r="916" spans="1:13" x14ac:dyDescent="0.25">
      <c r="A916" s="3" t="s">
        <v>1371</v>
      </c>
      <c r="B916" s="10" t="s">
        <v>1351</v>
      </c>
      <c r="C916" s="3" t="str">
        <f>("755221")</f>
        <v>755221</v>
      </c>
      <c r="D916" s="11" t="str">
        <f>("662671192653")</f>
        <v>662671192653</v>
      </c>
      <c r="E916" s="3">
        <v>192842</v>
      </c>
      <c r="F916" s="8" t="s">
        <v>1019</v>
      </c>
      <c r="G916" s="14">
        <v>80.518306786035552</v>
      </c>
      <c r="H916" s="35">
        <v>45689</v>
      </c>
      <c r="I916" s="3">
        <v>0.19</v>
      </c>
      <c r="J916" s="3" t="s">
        <v>3</v>
      </c>
      <c r="K916" s="11" t="str">
        <f>("10662671192650")</f>
        <v>10662671192650</v>
      </c>
      <c r="L916" s="3">
        <v>50</v>
      </c>
      <c r="M916" s="3">
        <v>1600</v>
      </c>
    </row>
    <row r="917" spans="1:13" x14ac:dyDescent="0.25">
      <c r="A917" s="3" t="s">
        <v>1371</v>
      </c>
      <c r="B917" s="10" t="s">
        <v>1351</v>
      </c>
      <c r="C917" s="3" t="str">
        <f>("755222")</f>
        <v>755222</v>
      </c>
      <c r="D917" s="11" t="str">
        <f>("662671192752")</f>
        <v>662671192752</v>
      </c>
      <c r="E917" s="3">
        <v>192846</v>
      </c>
      <c r="F917" s="8" t="s">
        <v>1020</v>
      </c>
      <c r="G917" s="14">
        <v>280.31213991207642</v>
      </c>
      <c r="H917" s="35">
        <v>45689</v>
      </c>
      <c r="I917" s="3">
        <v>0.69899999999999995</v>
      </c>
      <c r="J917" s="3" t="s">
        <v>3</v>
      </c>
      <c r="K917" s="11" t="str">
        <f>("10662671192759")</f>
        <v>10662671192759</v>
      </c>
      <c r="L917" s="3">
        <v>25</v>
      </c>
      <c r="M917" s="3">
        <v>450</v>
      </c>
    </row>
    <row r="918" spans="1:13" x14ac:dyDescent="0.25">
      <c r="A918" s="3" t="s">
        <v>1371</v>
      </c>
      <c r="B918" s="10" t="s">
        <v>1351</v>
      </c>
      <c r="C918" s="3" t="str">
        <f>("755540")</f>
        <v>755540</v>
      </c>
      <c r="D918" s="11" t="str">
        <f>("662671190642")</f>
        <v>662671190642</v>
      </c>
      <c r="E918" s="3">
        <v>193863</v>
      </c>
      <c r="F918" s="8" t="s">
        <v>1021</v>
      </c>
      <c r="G918" s="14">
        <v>153.49031184417149</v>
      </c>
      <c r="H918" s="35">
        <v>45689</v>
      </c>
      <c r="I918" s="3">
        <v>0.32400000000000001</v>
      </c>
      <c r="J918" s="3" t="s">
        <v>3</v>
      </c>
      <c r="K918" s="11" t="str">
        <f>("10662671190649")</f>
        <v>10662671190649</v>
      </c>
      <c r="L918" s="3">
        <v>50</v>
      </c>
      <c r="M918" s="3">
        <v>3600</v>
      </c>
    </row>
    <row r="919" spans="1:13" x14ac:dyDescent="0.25">
      <c r="A919" s="3" t="s">
        <v>1371</v>
      </c>
      <c r="B919" s="10" t="s">
        <v>1351</v>
      </c>
      <c r="C919" s="3" t="str">
        <f>("755541")</f>
        <v>755541</v>
      </c>
      <c r="D919" s="11" t="str">
        <f>("662671190659")</f>
        <v>662671190659</v>
      </c>
      <c r="E919" s="3">
        <v>193864</v>
      </c>
      <c r="F919" s="8" t="s">
        <v>1022</v>
      </c>
      <c r="G919" s="14">
        <v>171.08858053389466</v>
      </c>
      <c r="H919" s="35">
        <v>45689</v>
      </c>
      <c r="I919" s="3">
        <v>0.52900000000000003</v>
      </c>
      <c r="J919" s="3" t="s">
        <v>3</v>
      </c>
      <c r="K919" s="11" t="str">
        <f>("10662671190656")</f>
        <v>10662671190656</v>
      </c>
      <c r="L919" s="3">
        <v>25</v>
      </c>
      <c r="M919" s="3">
        <v>1800</v>
      </c>
    </row>
    <row r="920" spans="1:13" x14ac:dyDescent="0.25">
      <c r="A920" s="3" t="s">
        <v>1371</v>
      </c>
      <c r="B920" s="10" t="s">
        <v>1351</v>
      </c>
      <c r="C920" s="3" t="str">
        <f>("755529")</f>
        <v>755529</v>
      </c>
      <c r="D920" s="11" t="str">
        <f>("662671193346")</f>
        <v>662671193346</v>
      </c>
      <c r="E920" s="3">
        <v>193764</v>
      </c>
      <c r="F920" s="8" t="s">
        <v>1023</v>
      </c>
      <c r="G920" s="14">
        <v>41.233578761765976</v>
      </c>
      <c r="H920" s="35">
        <v>45689</v>
      </c>
      <c r="I920" s="3">
        <v>0.104</v>
      </c>
      <c r="J920" s="3" t="s">
        <v>3</v>
      </c>
      <c r="K920" s="11" t="str">
        <f>("10662671193343")</f>
        <v>10662671193343</v>
      </c>
      <c r="L920" s="3">
        <v>100</v>
      </c>
      <c r="M920" s="3">
        <v>7200</v>
      </c>
    </row>
    <row r="921" spans="1:13" x14ac:dyDescent="0.25">
      <c r="A921" s="3" t="s">
        <v>1371</v>
      </c>
      <c r="B921" s="10" t="s">
        <v>1351</v>
      </c>
      <c r="C921" s="3" t="str">
        <f>("294133")</f>
        <v>294133</v>
      </c>
      <c r="D921" s="11" t="str">
        <f>("622454600256")</f>
        <v>622454600256</v>
      </c>
      <c r="E921" s="3"/>
      <c r="F921" s="8" t="s">
        <v>1024</v>
      </c>
      <c r="G921" s="14">
        <v>180.81047372344116</v>
      </c>
      <c r="H921" s="35">
        <v>45689</v>
      </c>
      <c r="I921" s="3">
        <v>5.351</v>
      </c>
      <c r="J921" s="3" t="s">
        <v>10</v>
      </c>
      <c r="K921" s="11" t="str">
        <f>("00622454600256")</f>
        <v>00622454600256</v>
      </c>
      <c r="L921" s="3">
        <v>1</v>
      </c>
      <c r="M921" s="3"/>
    </row>
    <row r="922" spans="1:13" x14ac:dyDescent="0.25">
      <c r="A922" s="3" t="s">
        <v>1371</v>
      </c>
      <c r="B922" s="10" t="s">
        <v>1351</v>
      </c>
      <c r="C922" s="3" t="str">
        <f>("294135")</f>
        <v>294135</v>
      </c>
      <c r="D922" s="11" t="str">
        <f>("622454600270")</f>
        <v>622454600270</v>
      </c>
      <c r="E922" s="3"/>
      <c r="F922" s="8" t="s">
        <v>1025</v>
      </c>
      <c r="G922" s="14">
        <v>436.61</v>
      </c>
      <c r="H922" s="35">
        <v>45689</v>
      </c>
      <c r="I922" s="3">
        <v>4.6470000000000002</v>
      </c>
      <c r="J922" s="3" t="s">
        <v>10</v>
      </c>
      <c r="K922" s="11" t="str">
        <f>("00622454600270")</f>
        <v>00622454600270</v>
      </c>
      <c r="L922" s="3">
        <v>1</v>
      </c>
      <c r="M922" s="3"/>
    </row>
    <row r="923" spans="1:13" x14ac:dyDescent="0.25">
      <c r="A923" s="3" t="s">
        <v>1371</v>
      </c>
      <c r="B923" s="10" t="s">
        <v>1351</v>
      </c>
      <c r="C923" s="3" t="str">
        <f>("294137")</f>
        <v>294137</v>
      </c>
      <c r="D923" s="11" t="str">
        <f>("622454600294")</f>
        <v>622454600294</v>
      </c>
      <c r="E923" s="3"/>
      <c r="F923" s="8" t="s">
        <v>1026</v>
      </c>
      <c r="G923" s="14">
        <v>263.06078921926775</v>
      </c>
      <c r="H923" s="35">
        <v>45689</v>
      </c>
      <c r="I923" s="3">
        <v>5.3239999999999998</v>
      </c>
      <c r="J923" s="3" t="s">
        <v>10</v>
      </c>
      <c r="K923" s="11" t="str">
        <f>("00622454600294")</f>
        <v>00622454600294</v>
      </c>
      <c r="L923" s="3">
        <v>1</v>
      </c>
      <c r="M923" s="3"/>
    </row>
    <row r="924" spans="1:13" x14ac:dyDescent="0.25">
      <c r="A924" s="3" t="s">
        <v>1371</v>
      </c>
      <c r="B924" s="10" t="s">
        <v>1351</v>
      </c>
      <c r="C924" s="3" t="str">
        <f>("294139")</f>
        <v>294139</v>
      </c>
      <c r="D924" s="11" t="str">
        <f>("622454600317")</f>
        <v>622454600317</v>
      </c>
      <c r="E924" s="3"/>
      <c r="F924" s="8" t="s">
        <v>1027</v>
      </c>
      <c r="G924" s="14">
        <v>406.39306474982965</v>
      </c>
      <c r="H924" s="35">
        <v>45689</v>
      </c>
      <c r="I924" s="3">
        <v>4.8259999999999996</v>
      </c>
      <c r="J924" s="3" t="s">
        <v>10</v>
      </c>
      <c r="K924" s="11" t="str">
        <f>("00622454600317")</f>
        <v>00622454600317</v>
      </c>
      <c r="L924" s="3">
        <v>1</v>
      </c>
      <c r="M924" s="3"/>
    </row>
    <row r="925" spans="1:13" x14ac:dyDescent="0.25">
      <c r="A925" s="3" t="s">
        <v>1371</v>
      </c>
      <c r="B925" s="10" t="s">
        <v>1351</v>
      </c>
      <c r="C925" s="3" t="str">
        <f>("294141")</f>
        <v>294141</v>
      </c>
      <c r="D925" s="11" t="str">
        <f>("622454600331")</f>
        <v>622454600331</v>
      </c>
      <c r="E925" s="3"/>
      <c r="F925" s="8" t="s">
        <v>1028</v>
      </c>
      <c r="G925" s="14">
        <v>376.87298740722701</v>
      </c>
      <c r="H925" s="35">
        <v>45689</v>
      </c>
      <c r="I925" s="3">
        <v>8.234</v>
      </c>
      <c r="J925" s="3" t="s">
        <v>10</v>
      </c>
      <c r="K925" s="11" t="str">
        <f>("00622454600331")</f>
        <v>00622454600331</v>
      </c>
      <c r="L925" s="3">
        <v>1</v>
      </c>
      <c r="M925" s="3"/>
    </row>
    <row r="926" spans="1:13" x14ac:dyDescent="0.25">
      <c r="A926" s="3" t="s">
        <v>1371</v>
      </c>
      <c r="B926" s="10" t="s">
        <v>1351</v>
      </c>
      <c r="C926" s="3" t="str">
        <f>("294143")</f>
        <v>294143</v>
      </c>
      <c r="D926" s="11" t="str">
        <f>("622454600355")</f>
        <v>622454600355</v>
      </c>
      <c r="E926" s="3"/>
      <c r="F926" s="8" t="s">
        <v>1029</v>
      </c>
      <c r="G926" s="14">
        <v>604.66958423431072</v>
      </c>
      <c r="H926" s="35">
        <v>45689</v>
      </c>
      <c r="I926" s="3">
        <v>19.088000000000001</v>
      </c>
      <c r="J926" s="3" t="s">
        <v>10</v>
      </c>
      <c r="K926" s="11" t="str">
        <f>("00622454600355")</f>
        <v>00622454600355</v>
      </c>
      <c r="L926" s="3">
        <v>1</v>
      </c>
      <c r="M926" s="3"/>
    </row>
    <row r="927" spans="1:13" x14ac:dyDescent="0.25">
      <c r="A927" s="3" t="s">
        <v>1371</v>
      </c>
      <c r="B927" s="10" t="s">
        <v>1351</v>
      </c>
      <c r="C927" s="3" t="str">
        <f>("294145")</f>
        <v>294145</v>
      </c>
      <c r="D927" s="11" t="str">
        <f>("622454600379")</f>
        <v>622454600379</v>
      </c>
      <c r="E927" s="3"/>
      <c r="F927" s="8" t="s">
        <v>1030</v>
      </c>
      <c r="G927" s="14">
        <v>426.405217181669</v>
      </c>
      <c r="H927" s="35">
        <v>45689</v>
      </c>
      <c r="I927" s="3">
        <v>6.7640000000000002</v>
      </c>
      <c r="J927" s="3" t="s">
        <v>10</v>
      </c>
      <c r="K927" s="11" t="str">
        <f>("00622454600379")</f>
        <v>00622454600379</v>
      </c>
      <c r="L927" s="3">
        <v>1</v>
      </c>
      <c r="M927" s="3"/>
    </row>
    <row r="928" spans="1:13" x14ac:dyDescent="0.25">
      <c r="A928" s="3" t="s">
        <v>1371</v>
      </c>
      <c r="B928" s="10" t="s">
        <v>1351</v>
      </c>
      <c r="C928" s="3" t="str">
        <f>("294147")</f>
        <v>294147</v>
      </c>
      <c r="D928" s="11" t="str">
        <f>("622454600393")</f>
        <v>622454600393</v>
      </c>
      <c r="E928" s="3"/>
      <c r="F928" s="8" t="s">
        <v>1031</v>
      </c>
      <c r="G928" s="14">
        <v>450.91918140825527</v>
      </c>
      <c r="H928" s="35">
        <v>45689</v>
      </c>
      <c r="I928" s="3">
        <v>10.414999999999999</v>
      </c>
      <c r="J928" s="3" t="s">
        <v>10</v>
      </c>
      <c r="K928" s="11" t="str">
        <f>("00622454600393")</f>
        <v>00622454600393</v>
      </c>
      <c r="L928" s="3">
        <v>1</v>
      </c>
      <c r="M928" s="3"/>
    </row>
    <row r="929" spans="1:13" x14ac:dyDescent="0.25">
      <c r="A929" s="3" t="s">
        <v>1371</v>
      </c>
      <c r="B929" s="10" t="s">
        <v>1351</v>
      </c>
      <c r="C929" s="3" t="str">
        <f>("294149")</f>
        <v>294149</v>
      </c>
      <c r="D929" s="11" t="str">
        <f>("622454600416")</f>
        <v>622454600416</v>
      </c>
      <c r="E929" s="3"/>
      <c r="F929" s="8" t="s">
        <v>1032</v>
      </c>
      <c r="G929" s="14">
        <v>719.30588458141756</v>
      </c>
      <c r="H929" s="35">
        <v>45689</v>
      </c>
      <c r="I929" s="3">
        <v>24.100999999999999</v>
      </c>
      <c r="J929" s="3" t="s">
        <v>10</v>
      </c>
      <c r="K929" s="11" t="str">
        <f>("00622454600416")</f>
        <v>00622454600416</v>
      </c>
      <c r="L929" s="3">
        <v>1</v>
      </c>
      <c r="M929" s="3"/>
    </row>
    <row r="930" spans="1:13" x14ac:dyDescent="0.25">
      <c r="A930" s="3" t="s">
        <v>1371</v>
      </c>
      <c r="B930" s="10" t="s">
        <v>1351</v>
      </c>
      <c r="C930" s="3" t="str">
        <f>("294151")</f>
        <v>294151</v>
      </c>
      <c r="D930" s="11" t="str">
        <f>("622454600430")</f>
        <v>622454600430</v>
      </c>
      <c r="E930" s="3"/>
      <c r="F930" s="8" t="s">
        <v>1033</v>
      </c>
      <c r="G930" s="14">
        <v>1040.1768252632821</v>
      </c>
      <c r="H930" s="35">
        <v>45689</v>
      </c>
      <c r="I930" s="3">
        <v>15.71</v>
      </c>
      <c r="J930" s="3" t="s">
        <v>10</v>
      </c>
      <c r="K930" s="11" t="str">
        <f>("00622454600430")</f>
        <v>00622454600430</v>
      </c>
      <c r="L930" s="3">
        <v>1</v>
      </c>
      <c r="M930" s="3"/>
    </row>
    <row r="931" spans="1:13" x14ac:dyDescent="0.25">
      <c r="A931" s="3" t="s">
        <v>1371</v>
      </c>
      <c r="B931" s="10" t="s">
        <v>1351</v>
      </c>
      <c r="C931" s="3" t="str">
        <f>("294153")</f>
        <v>294153</v>
      </c>
      <c r="D931" s="11" t="str">
        <f>("622454600454")</f>
        <v>622454600454</v>
      </c>
      <c r="E931" s="3"/>
      <c r="F931" s="8" t="s">
        <v>1034</v>
      </c>
      <c r="G931" s="14">
        <v>918.23430577388103</v>
      </c>
      <c r="H931" s="35">
        <v>45689</v>
      </c>
      <c r="I931" s="3">
        <v>9.3190000000000008</v>
      </c>
      <c r="J931" s="3" t="s">
        <v>10</v>
      </c>
      <c r="K931" s="11" t="str">
        <f>("00622454600454")</f>
        <v>00622454600454</v>
      </c>
      <c r="L931" s="3">
        <v>1</v>
      </c>
      <c r="M931" s="3"/>
    </row>
    <row r="932" spans="1:13" x14ac:dyDescent="0.25">
      <c r="A932" s="3" t="s">
        <v>1371</v>
      </c>
      <c r="B932" s="10" t="s">
        <v>1351</v>
      </c>
      <c r="C932" s="3" t="str">
        <f>("294155")</f>
        <v>294155</v>
      </c>
      <c r="D932" s="11" t="str">
        <f>("622454600478")</f>
        <v>622454600478</v>
      </c>
      <c r="E932" s="3"/>
      <c r="F932" s="8" t="s">
        <v>1035</v>
      </c>
      <c r="G932" s="14">
        <v>693.05</v>
      </c>
      <c r="H932" s="35">
        <v>45689</v>
      </c>
      <c r="I932" s="3">
        <v>10.606</v>
      </c>
      <c r="J932" s="3" t="s">
        <v>10</v>
      </c>
      <c r="K932" s="11" t="str">
        <f>("00622454600478")</f>
        <v>00622454600478</v>
      </c>
      <c r="L932" s="3">
        <v>1</v>
      </c>
      <c r="M932" s="3"/>
    </row>
    <row r="933" spans="1:13" x14ac:dyDescent="0.25">
      <c r="A933" s="3" t="s">
        <v>1371</v>
      </c>
      <c r="B933" s="10" t="s">
        <v>1351</v>
      </c>
      <c r="C933" s="3" t="str">
        <f>("294157")</f>
        <v>294157</v>
      </c>
      <c r="D933" s="11" t="str">
        <f>("622454600492")</f>
        <v>622454600492</v>
      </c>
      <c r="E933" s="3"/>
      <c r="F933" s="8" t="s">
        <v>1036</v>
      </c>
      <c r="G933" s="14">
        <v>851.00232962610357</v>
      </c>
      <c r="H933" s="35">
        <v>45689</v>
      </c>
      <c r="I933" s="3">
        <v>24.22</v>
      </c>
      <c r="J933" s="3" t="s">
        <v>10</v>
      </c>
      <c r="K933" s="11" t="str">
        <f>("00622454600492")</f>
        <v>00622454600492</v>
      </c>
      <c r="L933" s="3">
        <v>1</v>
      </c>
      <c r="M933" s="3"/>
    </row>
    <row r="934" spans="1:13" x14ac:dyDescent="0.25">
      <c r="A934" s="3" t="s">
        <v>1371</v>
      </c>
      <c r="B934" s="10" t="s">
        <v>1351</v>
      </c>
      <c r="C934" s="3" t="str">
        <f>("294159")</f>
        <v>294159</v>
      </c>
      <c r="D934" s="11" t="str">
        <f>("622454600515")</f>
        <v>622454600515</v>
      </c>
      <c r="E934" s="3"/>
      <c r="F934" s="8" t="s">
        <v>1037</v>
      </c>
      <c r="G934" s="14">
        <v>1101.9229870382262</v>
      </c>
      <c r="H934" s="35">
        <v>45689</v>
      </c>
      <c r="I934" s="3">
        <v>15.829000000000001</v>
      </c>
      <c r="J934" s="3" t="s">
        <v>10</v>
      </c>
      <c r="K934" s="11" t="str">
        <f>("00622454600515")</f>
        <v>00622454600515</v>
      </c>
      <c r="L934" s="3">
        <v>1</v>
      </c>
      <c r="M934" s="3"/>
    </row>
    <row r="935" spans="1:13" x14ac:dyDescent="0.25">
      <c r="A935" s="3" t="s">
        <v>1371</v>
      </c>
      <c r="B935" s="10" t="s">
        <v>1351</v>
      </c>
      <c r="C935" s="3" t="str">
        <f>("294161")</f>
        <v>294161</v>
      </c>
      <c r="D935" s="11" t="str">
        <f>("622454600539")</f>
        <v>622454600539</v>
      </c>
      <c r="E935" s="3"/>
      <c r="F935" s="8" t="s">
        <v>1038</v>
      </c>
      <c r="G935" s="14">
        <v>1214.665082422516</v>
      </c>
      <c r="H935" s="35">
        <v>45689</v>
      </c>
      <c r="I935" s="3">
        <v>20.225000000000001</v>
      </c>
      <c r="J935" s="3" t="s">
        <v>10</v>
      </c>
      <c r="K935" s="11" t="str">
        <f>("00622454600539")</f>
        <v>00622454600539</v>
      </c>
      <c r="L935" s="3">
        <v>1</v>
      </c>
      <c r="M935" s="3"/>
    </row>
    <row r="936" spans="1:13" x14ac:dyDescent="0.25">
      <c r="A936" s="3" t="s">
        <v>1371</v>
      </c>
      <c r="B936" s="10" t="s">
        <v>1351</v>
      </c>
      <c r="C936" s="3" t="str">
        <f>("294163")</f>
        <v>294163</v>
      </c>
      <c r="D936" s="11" t="str">
        <f>("622454600553")</f>
        <v>622454600553</v>
      </c>
      <c r="E936" s="3"/>
      <c r="F936" s="8" t="s">
        <v>1039</v>
      </c>
      <c r="G936" s="14">
        <v>525.05147563486616</v>
      </c>
      <c r="H936" s="35">
        <v>45689</v>
      </c>
      <c r="I936" s="3">
        <v>20.97</v>
      </c>
      <c r="J936" s="3" t="s">
        <v>10</v>
      </c>
      <c r="K936" s="11" t="str">
        <f>("00622454600553")</f>
        <v>00622454600553</v>
      </c>
      <c r="L936" s="3">
        <v>1</v>
      </c>
      <c r="M936" s="3"/>
    </row>
    <row r="937" spans="1:13" x14ac:dyDescent="0.25">
      <c r="A937" s="3" t="s">
        <v>1371</v>
      </c>
      <c r="B937" s="10" t="s">
        <v>1351</v>
      </c>
      <c r="C937" s="3" t="str">
        <f>("294165")</f>
        <v>294165</v>
      </c>
      <c r="D937" s="11" t="str">
        <f>("622454600577")</f>
        <v>622454600577</v>
      </c>
      <c r="E937" s="3"/>
      <c r="F937" s="8" t="s">
        <v>1040</v>
      </c>
      <c r="G937" s="14">
        <v>601.47157585552861</v>
      </c>
      <c r="H937" s="35">
        <v>45689</v>
      </c>
      <c r="I937" s="3">
        <v>12.701000000000001</v>
      </c>
      <c r="J937" s="3" t="s">
        <v>10</v>
      </c>
      <c r="K937" s="11" t="str">
        <f>("00622454600577")</f>
        <v>00622454600577</v>
      </c>
      <c r="L937" s="3">
        <v>1</v>
      </c>
      <c r="M937" s="3"/>
    </row>
    <row r="938" spans="1:13" x14ac:dyDescent="0.25">
      <c r="A938" s="3" t="s">
        <v>1371</v>
      </c>
      <c r="B938" s="10" t="s">
        <v>1351</v>
      </c>
      <c r="C938" s="3" t="str">
        <f>("294167")</f>
        <v>294167</v>
      </c>
      <c r="D938" s="11" t="str">
        <f>("622454600591")</f>
        <v>622454600591</v>
      </c>
      <c r="E938" s="3"/>
      <c r="F938" s="8" t="s">
        <v>1041</v>
      </c>
      <c r="G938" s="14">
        <v>894.05244241739911</v>
      </c>
      <c r="H938" s="35">
        <v>45689</v>
      </c>
      <c r="I938" s="3">
        <v>28.012</v>
      </c>
      <c r="J938" s="3" t="s">
        <v>10</v>
      </c>
      <c r="K938" s="11" t="str">
        <f>("00622454600591")</f>
        <v>00622454600591</v>
      </c>
      <c r="L938" s="3">
        <v>1</v>
      </c>
      <c r="M938" s="3"/>
    </row>
    <row r="939" spans="1:13" x14ac:dyDescent="0.25">
      <c r="A939" s="3" t="s">
        <v>1371</v>
      </c>
      <c r="B939" s="10" t="s">
        <v>1351</v>
      </c>
      <c r="C939" s="3" t="str">
        <f>("294169")</f>
        <v>294169</v>
      </c>
      <c r="D939" s="11" t="str">
        <f>("622454600614")</f>
        <v>622454600614</v>
      </c>
      <c r="E939" s="3"/>
      <c r="F939" s="8" t="s">
        <v>1042</v>
      </c>
      <c r="G939" s="14">
        <v>1136.3630772712622</v>
      </c>
      <c r="H939" s="35">
        <v>45689</v>
      </c>
      <c r="I939" s="3">
        <v>32.933</v>
      </c>
      <c r="J939" s="3" t="s">
        <v>10</v>
      </c>
      <c r="K939" s="11" t="str">
        <f>("00622454600614")</f>
        <v>00622454600614</v>
      </c>
      <c r="L939" s="3">
        <v>1</v>
      </c>
      <c r="M939" s="3"/>
    </row>
    <row r="940" spans="1:13" x14ac:dyDescent="0.25">
      <c r="A940" s="3" t="s">
        <v>1371</v>
      </c>
      <c r="B940" s="10" t="s">
        <v>1351</v>
      </c>
      <c r="C940" s="3" t="str">
        <f>("294171")</f>
        <v>294171</v>
      </c>
      <c r="D940" s="11" t="str">
        <f>("622454600638")</f>
        <v>622454600638</v>
      </c>
      <c r="E940" s="3"/>
      <c r="F940" s="8" t="s">
        <v>1043</v>
      </c>
      <c r="G940" s="14">
        <v>1259.1911990809417</v>
      </c>
      <c r="H940" s="35">
        <v>45689</v>
      </c>
      <c r="I940" s="3">
        <v>18.986000000000001</v>
      </c>
      <c r="J940" s="3" t="s">
        <v>10</v>
      </c>
      <c r="K940" s="11" t="str">
        <f>("00622454600638")</f>
        <v>00622454600638</v>
      </c>
      <c r="L940" s="3">
        <v>1</v>
      </c>
      <c r="M940" s="3"/>
    </row>
    <row r="941" spans="1:13" x14ac:dyDescent="0.25">
      <c r="A941" s="3" t="s">
        <v>1371</v>
      </c>
      <c r="B941" s="10" t="s">
        <v>1351</v>
      </c>
      <c r="C941" s="3" t="str">
        <f>("294173")</f>
        <v>294173</v>
      </c>
      <c r="D941" s="11" t="str">
        <f>("622454600652")</f>
        <v>622454600652</v>
      </c>
      <c r="E941" s="3"/>
      <c r="F941" s="8" t="s">
        <v>1044</v>
      </c>
      <c r="G941" s="14">
        <v>1308.9694294999051</v>
      </c>
      <c r="H941" s="35">
        <v>45689</v>
      </c>
      <c r="I941" s="3">
        <v>27.757999999999999</v>
      </c>
      <c r="J941" s="3" t="s">
        <v>10</v>
      </c>
      <c r="K941" s="11" t="str">
        <f>("00622454600652")</f>
        <v>00622454600652</v>
      </c>
      <c r="L941" s="3">
        <v>1</v>
      </c>
      <c r="M941" s="3"/>
    </row>
    <row r="942" spans="1:13" x14ac:dyDescent="0.25">
      <c r="A942" s="3" t="s">
        <v>1371</v>
      </c>
      <c r="B942" s="10" t="s">
        <v>1351</v>
      </c>
      <c r="C942" s="3" t="str">
        <f>("294175")</f>
        <v>294175</v>
      </c>
      <c r="D942" s="11" t="str">
        <f>("622454600676")</f>
        <v>622454600676</v>
      </c>
      <c r="E942" s="3"/>
      <c r="F942" s="8" t="s">
        <v>1045</v>
      </c>
      <c r="G942" s="14">
        <v>774.00412789081508</v>
      </c>
      <c r="H942" s="35">
        <v>45689</v>
      </c>
      <c r="I942" s="3">
        <v>9.3190000000000008</v>
      </c>
      <c r="J942" s="3" t="s">
        <v>10</v>
      </c>
      <c r="K942" s="11" t="str">
        <f>("00622454600676")</f>
        <v>00622454600676</v>
      </c>
      <c r="L942" s="3">
        <v>1</v>
      </c>
      <c r="M942" s="3"/>
    </row>
    <row r="943" spans="1:13" x14ac:dyDescent="0.25">
      <c r="A943" s="3" t="s">
        <v>1371</v>
      </c>
      <c r="B943" s="10" t="s">
        <v>1351</v>
      </c>
      <c r="C943" s="3" t="str">
        <f>("294176")</f>
        <v>294176</v>
      </c>
      <c r="D943" s="11" t="str">
        <f>("622454600683")</f>
        <v>622454600683</v>
      </c>
      <c r="E943" s="3"/>
      <c r="F943" s="8" t="s">
        <v>1046</v>
      </c>
      <c r="G943" s="14">
        <v>824.18825937323948</v>
      </c>
      <c r="H943" s="35">
        <v>45689</v>
      </c>
      <c r="I943" s="3">
        <v>17.475999999999999</v>
      </c>
      <c r="J943" s="3" t="s">
        <v>10</v>
      </c>
      <c r="K943" s="11" t="str">
        <f>("00622454600683")</f>
        <v>00622454600683</v>
      </c>
      <c r="L943" s="3">
        <v>1</v>
      </c>
      <c r="M943" s="3"/>
    </row>
    <row r="944" spans="1:13" x14ac:dyDescent="0.25">
      <c r="A944" s="3" t="s">
        <v>1371</v>
      </c>
      <c r="B944" s="10" t="s">
        <v>1351</v>
      </c>
      <c r="C944" s="3" t="str">
        <f>("294177")</f>
        <v>294177</v>
      </c>
      <c r="D944" s="11" t="str">
        <f>("622454600690")</f>
        <v>622454600690</v>
      </c>
      <c r="E944" s="3"/>
      <c r="F944" s="8" t="s">
        <v>1047</v>
      </c>
      <c r="G944" s="14">
        <v>1202.5372506475967</v>
      </c>
      <c r="H944" s="35">
        <v>45689</v>
      </c>
      <c r="I944" s="3">
        <v>28.012</v>
      </c>
      <c r="J944" s="3" t="s">
        <v>10</v>
      </c>
      <c r="K944" s="11" t="str">
        <f>("00622454600690")</f>
        <v>00622454600690</v>
      </c>
      <c r="L944" s="3">
        <v>1</v>
      </c>
      <c r="M944" s="3"/>
    </row>
    <row r="945" spans="1:13" x14ac:dyDescent="0.25">
      <c r="A945" s="3" t="s">
        <v>1371</v>
      </c>
      <c r="B945" s="10" t="s">
        <v>1351</v>
      </c>
      <c r="C945" s="3" t="str">
        <f>("294178")</f>
        <v>294178</v>
      </c>
      <c r="D945" s="11" t="str">
        <f>("622454600706")</f>
        <v>622454600706</v>
      </c>
      <c r="E945" s="3"/>
      <c r="F945" s="8" t="s">
        <v>1048</v>
      </c>
      <c r="G945" s="14">
        <v>1333.163592888613</v>
      </c>
      <c r="H945" s="35">
        <v>45689</v>
      </c>
      <c r="I945" s="3">
        <v>15.829000000000001</v>
      </c>
      <c r="J945" s="3" t="s">
        <v>10</v>
      </c>
      <c r="K945" s="11" t="str">
        <f>("00622454600706")</f>
        <v>00622454600706</v>
      </c>
      <c r="L945" s="3">
        <v>1</v>
      </c>
      <c r="M945" s="3"/>
    </row>
    <row r="946" spans="1:13" x14ac:dyDescent="0.25">
      <c r="A946" s="3" t="s">
        <v>1371</v>
      </c>
      <c r="B946" s="10" t="s">
        <v>1351</v>
      </c>
      <c r="C946" s="3" t="str">
        <f>("294179")</f>
        <v>294179</v>
      </c>
      <c r="D946" s="11" t="str">
        <f>("622454600713")</f>
        <v>622454600713</v>
      </c>
      <c r="E946" s="3"/>
      <c r="F946" s="8" t="s">
        <v>1049</v>
      </c>
      <c r="G946" s="14">
        <v>1369.9775893412839</v>
      </c>
      <c r="H946" s="35">
        <v>45689</v>
      </c>
      <c r="I946" s="3">
        <v>20.225000000000001</v>
      </c>
      <c r="J946" s="3" t="s">
        <v>10</v>
      </c>
      <c r="K946" s="11" t="str">
        <f>("00622454600713")</f>
        <v>00622454600713</v>
      </c>
      <c r="L946" s="3">
        <v>1</v>
      </c>
      <c r="M946" s="3"/>
    </row>
    <row r="947" spans="1:13" x14ac:dyDescent="0.25">
      <c r="A947" s="3" t="s">
        <v>1371</v>
      </c>
      <c r="B947" s="10" t="s">
        <v>1351</v>
      </c>
      <c r="C947" s="3" t="str">
        <f>("294180")</f>
        <v>294180</v>
      </c>
      <c r="D947" s="11" t="str">
        <f>("622454600720")</f>
        <v>622454600720</v>
      </c>
      <c r="E947" s="3"/>
      <c r="F947" s="8" t="s">
        <v>1050</v>
      </c>
      <c r="G947" s="14">
        <v>2069.6895225865492</v>
      </c>
      <c r="H947" s="35">
        <v>45689</v>
      </c>
      <c r="I947" s="3">
        <v>36.430999999999997</v>
      </c>
      <c r="J947" s="3" t="s">
        <v>10</v>
      </c>
      <c r="K947" s="11" t="str">
        <f>("00622454600720")</f>
        <v>00622454600720</v>
      </c>
      <c r="L947" s="3">
        <v>1</v>
      </c>
      <c r="M947" s="3"/>
    </row>
    <row r="948" spans="1:13" x14ac:dyDescent="0.25">
      <c r="A948" s="3" t="s">
        <v>1371</v>
      </c>
      <c r="B948" s="10" t="s">
        <v>1351</v>
      </c>
      <c r="C948" s="3" t="str">
        <f>("294181")</f>
        <v>294181</v>
      </c>
      <c r="D948" s="11" t="str">
        <f>("622454600737")</f>
        <v>622454600737</v>
      </c>
      <c r="E948" s="3"/>
      <c r="F948" s="8" t="s">
        <v>1051</v>
      </c>
      <c r="G948" s="14">
        <v>2699.6110729810111</v>
      </c>
      <c r="H948" s="35">
        <v>45689</v>
      </c>
      <c r="I948" s="3">
        <v>43.651000000000003</v>
      </c>
      <c r="J948" s="3" t="s">
        <v>10</v>
      </c>
      <c r="K948" s="11" t="str">
        <f>("00622454600737")</f>
        <v>00622454600737</v>
      </c>
      <c r="L948" s="3">
        <v>1</v>
      </c>
      <c r="M948" s="3"/>
    </row>
    <row r="949" spans="1:13" x14ac:dyDescent="0.25">
      <c r="A949" s="3" t="s">
        <v>1371</v>
      </c>
      <c r="B949" s="10" t="s">
        <v>1351</v>
      </c>
      <c r="C949" s="3" t="str">
        <f>("294182")</f>
        <v>294182</v>
      </c>
      <c r="D949" s="11" t="str">
        <f>("622454600744")</f>
        <v>622454600744</v>
      </c>
      <c r="E949" s="3"/>
      <c r="F949" s="8" t="s">
        <v>1052</v>
      </c>
      <c r="G949" s="14">
        <v>797.04208825027115</v>
      </c>
      <c r="H949" s="35">
        <v>45689</v>
      </c>
      <c r="I949" s="3">
        <v>9.5749999999999993</v>
      </c>
      <c r="J949" s="3" t="s">
        <v>10</v>
      </c>
      <c r="K949" s="11" t="str">
        <f>("00622454600744")</f>
        <v>00622454600744</v>
      </c>
      <c r="L949" s="3">
        <v>1</v>
      </c>
      <c r="M949" s="3"/>
    </row>
    <row r="950" spans="1:13" x14ac:dyDescent="0.25">
      <c r="A950" s="3" t="s">
        <v>1371</v>
      </c>
      <c r="B950" s="10" t="s">
        <v>1351</v>
      </c>
      <c r="C950" s="3" t="str">
        <f>("294183")</f>
        <v>294183</v>
      </c>
      <c r="D950" s="11" t="str">
        <f>("622454600751")</f>
        <v>622454600751</v>
      </c>
      <c r="E950" s="3"/>
      <c r="F950" s="8" t="s">
        <v>1053</v>
      </c>
      <c r="G950" s="14">
        <v>832.46618106139431</v>
      </c>
      <c r="H950" s="35">
        <v>45689</v>
      </c>
      <c r="I950" s="3">
        <v>11.077999999999999</v>
      </c>
      <c r="J950" s="3" t="s">
        <v>10</v>
      </c>
      <c r="K950" s="11" t="str">
        <f>("00622454600751")</f>
        <v>00622454600751</v>
      </c>
      <c r="L950" s="3">
        <v>1</v>
      </c>
      <c r="M950" s="3"/>
    </row>
    <row r="951" spans="1:13" x14ac:dyDescent="0.25">
      <c r="A951" s="3" t="s">
        <v>1371</v>
      </c>
      <c r="B951" s="10" t="s">
        <v>1351</v>
      </c>
      <c r="C951" s="3" t="str">
        <f>("294184")</f>
        <v>294184</v>
      </c>
      <c r="D951" s="11" t="str">
        <f>("622454600768")</f>
        <v>622454600768</v>
      </c>
      <c r="E951" s="3"/>
      <c r="F951" s="8" t="s">
        <v>1054</v>
      </c>
      <c r="G951" s="14">
        <v>1201.0612467804665</v>
      </c>
      <c r="H951" s="35">
        <v>45689</v>
      </c>
      <c r="I951" s="3">
        <v>28.268000000000001</v>
      </c>
      <c r="J951" s="3" t="s">
        <v>10</v>
      </c>
      <c r="K951" s="11" t="str">
        <f>("00622454600768")</f>
        <v>00622454600768</v>
      </c>
      <c r="L951" s="3">
        <v>1</v>
      </c>
      <c r="M951" s="3"/>
    </row>
    <row r="952" spans="1:13" x14ac:dyDescent="0.25">
      <c r="A952" s="3" t="s">
        <v>1371</v>
      </c>
      <c r="B952" s="10" t="s">
        <v>1351</v>
      </c>
      <c r="C952" s="3" t="str">
        <f>("294185")</f>
        <v>294185</v>
      </c>
      <c r="D952" s="11" t="str">
        <f>("622454600775")</f>
        <v>622454600775</v>
      </c>
      <c r="E952" s="3"/>
      <c r="F952" s="8" t="s">
        <v>1055</v>
      </c>
      <c r="G952" s="14">
        <v>1333.163592888613</v>
      </c>
      <c r="H952" s="35">
        <v>45689</v>
      </c>
      <c r="I952" s="3">
        <v>19.451000000000001</v>
      </c>
      <c r="J952" s="3" t="s">
        <v>10</v>
      </c>
      <c r="K952" s="11" t="str">
        <f>("00622454600775")</f>
        <v>00622454600775</v>
      </c>
      <c r="L952" s="3">
        <v>1</v>
      </c>
      <c r="M952" s="3"/>
    </row>
    <row r="953" spans="1:13" x14ac:dyDescent="0.25">
      <c r="A953" s="3" t="s">
        <v>1371</v>
      </c>
      <c r="B953" s="10" t="s">
        <v>1351</v>
      </c>
      <c r="C953" s="3" t="str">
        <f>("294186")</f>
        <v>294186</v>
      </c>
      <c r="D953" s="11" t="str">
        <f>("622454600782")</f>
        <v>622454600782</v>
      </c>
      <c r="E953" s="3"/>
      <c r="F953" s="8" t="s">
        <v>1056</v>
      </c>
      <c r="G953" s="14">
        <v>1900.8469802190882</v>
      </c>
      <c r="H953" s="35">
        <v>45689</v>
      </c>
      <c r="I953" s="3">
        <v>30.957000000000001</v>
      </c>
      <c r="J953" s="3" t="s">
        <v>10</v>
      </c>
      <c r="K953" s="11" t="str">
        <f>("00622454600782")</f>
        <v>00622454600782</v>
      </c>
      <c r="L953" s="3">
        <v>1</v>
      </c>
      <c r="M953" s="3"/>
    </row>
    <row r="954" spans="1:13" x14ac:dyDescent="0.25">
      <c r="A954" s="3" t="s">
        <v>1371</v>
      </c>
      <c r="B954" s="10" t="s">
        <v>1351</v>
      </c>
      <c r="C954" s="3" t="str">
        <f>("294187")</f>
        <v>294187</v>
      </c>
      <c r="D954" s="11" t="str">
        <f>("622454600799")</f>
        <v>622454600799</v>
      </c>
      <c r="E954" s="3"/>
      <c r="F954" s="8" t="s">
        <v>1057</v>
      </c>
      <c r="G954" s="14">
        <v>2074.0314339623569</v>
      </c>
      <c r="H954" s="35">
        <v>45689</v>
      </c>
      <c r="I954" s="3">
        <v>40.984000000000002</v>
      </c>
      <c r="J954" s="3" t="s">
        <v>10</v>
      </c>
      <c r="K954" s="11" t="str">
        <f>("00622454600799")</f>
        <v>00622454600799</v>
      </c>
      <c r="L954" s="3">
        <v>1</v>
      </c>
      <c r="M954" s="3"/>
    </row>
    <row r="955" spans="1:13" x14ac:dyDescent="0.25">
      <c r="A955" s="3" t="s">
        <v>1371</v>
      </c>
      <c r="B955" s="10" t="s">
        <v>1351</v>
      </c>
      <c r="C955" s="3" t="str">
        <f>("294188")</f>
        <v>294188</v>
      </c>
      <c r="D955" s="11" t="str">
        <f>("622454600805")</f>
        <v>622454600805</v>
      </c>
      <c r="E955" s="3"/>
      <c r="F955" s="8" t="s">
        <v>1058</v>
      </c>
      <c r="G955" s="14">
        <v>2711.7512047881564</v>
      </c>
      <c r="H955" s="35">
        <v>45689</v>
      </c>
      <c r="I955" s="3">
        <v>48.649000000000001</v>
      </c>
      <c r="J955" s="3" t="s">
        <v>10</v>
      </c>
      <c r="K955" s="11" t="str">
        <f>("00622454600805")</f>
        <v>00622454600805</v>
      </c>
      <c r="L955" s="3">
        <v>1</v>
      </c>
      <c r="M955" s="3"/>
    </row>
    <row r="956" spans="1:13" x14ac:dyDescent="0.25">
      <c r="A956" s="3" t="s">
        <v>1371</v>
      </c>
      <c r="B956" s="10" t="s">
        <v>1351</v>
      </c>
      <c r="C956" s="3" t="str">
        <f>("294189")</f>
        <v>294189</v>
      </c>
      <c r="D956" s="11" t="str">
        <f>("622454600812")</f>
        <v>622454600812</v>
      </c>
      <c r="E956" s="3"/>
      <c r="F956" s="8" t="s">
        <v>1059</v>
      </c>
      <c r="G956" s="14">
        <v>799.16999382538393</v>
      </c>
      <c r="H956" s="35">
        <v>45689</v>
      </c>
      <c r="I956" s="3">
        <v>8.8819999999999997</v>
      </c>
      <c r="J956" s="3" t="s">
        <v>10</v>
      </c>
      <c r="K956" s="11" t="str">
        <f>("00622454600812")</f>
        <v>00622454600812</v>
      </c>
      <c r="L956" s="3">
        <v>1</v>
      </c>
      <c r="M956" s="3"/>
    </row>
    <row r="957" spans="1:13" x14ac:dyDescent="0.25">
      <c r="A957" s="3" t="s">
        <v>1371</v>
      </c>
      <c r="B957" s="10" t="s">
        <v>1351</v>
      </c>
      <c r="C957" s="3" t="str">
        <f>("294190")</f>
        <v>294190</v>
      </c>
      <c r="D957" s="11" t="str">
        <f>("622454600829")</f>
        <v>622454600829</v>
      </c>
      <c r="E957" s="3"/>
      <c r="F957" s="8" t="s">
        <v>1060</v>
      </c>
      <c r="G957" s="14">
        <v>847.87812144067823</v>
      </c>
      <c r="H957" s="35">
        <v>45689</v>
      </c>
      <c r="I957" s="3">
        <v>10.862</v>
      </c>
      <c r="J957" s="3" t="s">
        <v>10</v>
      </c>
      <c r="K957" s="11" t="str">
        <f>("00622454600829")</f>
        <v>00622454600829</v>
      </c>
      <c r="L957" s="3">
        <v>1</v>
      </c>
      <c r="M957" s="3"/>
    </row>
    <row r="958" spans="1:13" x14ac:dyDescent="0.25">
      <c r="A958" s="3" t="s">
        <v>1371</v>
      </c>
      <c r="B958" s="10" t="s">
        <v>1351</v>
      </c>
      <c r="C958" s="3" t="str">
        <f>("294191")</f>
        <v>294191</v>
      </c>
      <c r="D958" s="11" t="str">
        <f>("622454600836")</f>
        <v>622454600836</v>
      </c>
      <c r="E958" s="3"/>
      <c r="F958" s="8" t="s">
        <v>1061</v>
      </c>
      <c r="G958" s="14">
        <v>1212.2050759772987</v>
      </c>
      <c r="H958" s="35">
        <v>45689</v>
      </c>
      <c r="I958" s="3">
        <v>13.154999999999999</v>
      </c>
      <c r="J958" s="3" t="s">
        <v>10</v>
      </c>
      <c r="K958" s="11" t="str">
        <f>("00622454600836")</f>
        <v>00622454600836</v>
      </c>
      <c r="L958" s="3">
        <v>1</v>
      </c>
      <c r="M958" s="3"/>
    </row>
    <row r="959" spans="1:13" x14ac:dyDescent="0.25">
      <c r="A959" s="3" t="s">
        <v>1371</v>
      </c>
      <c r="B959" s="10" t="s">
        <v>1351</v>
      </c>
      <c r="C959" s="3" t="str">
        <f>("294192")</f>
        <v>294192</v>
      </c>
      <c r="D959" s="11" t="str">
        <f>("622454600843")</f>
        <v>622454600843</v>
      </c>
      <c r="E959" s="3"/>
      <c r="F959" s="8" t="s">
        <v>1062</v>
      </c>
      <c r="G959" s="14">
        <v>1348.3295326233754</v>
      </c>
      <c r="H959" s="35">
        <v>45689</v>
      </c>
      <c r="I959" s="3">
        <v>24.762</v>
      </c>
      <c r="J959" s="3" t="s">
        <v>10</v>
      </c>
      <c r="K959" s="11" t="str">
        <f>("00622454600843")</f>
        <v>00622454600843</v>
      </c>
      <c r="L959" s="3">
        <v>1</v>
      </c>
      <c r="M959" s="3"/>
    </row>
    <row r="960" spans="1:13" x14ac:dyDescent="0.25">
      <c r="A960" s="3" t="s">
        <v>1371</v>
      </c>
      <c r="B960" s="10" t="s">
        <v>1351</v>
      </c>
      <c r="C960" s="3" t="str">
        <f>("294193")</f>
        <v>294193</v>
      </c>
      <c r="D960" s="11" t="str">
        <f>("622454600850")</f>
        <v>622454600850</v>
      </c>
      <c r="E960" s="3"/>
      <c r="F960" s="8" t="s">
        <v>1063</v>
      </c>
      <c r="G960" s="14">
        <v>1907.4889976211737</v>
      </c>
      <c r="H960" s="35">
        <v>45689</v>
      </c>
      <c r="I960" s="3">
        <v>35.023000000000003</v>
      </c>
      <c r="J960" s="3" t="s">
        <v>10</v>
      </c>
      <c r="K960" s="11" t="str">
        <f>("00622454600850")</f>
        <v>00622454600850</v>
      </c>
      <c r="L960" s="3">
        <v>1</v>
      </c>
      <c r="M960" s="3"/>
    </row>
    <row r="961" spans="1:13" x14ac:dyDescent="0.25">
      <c r="A961" s="3" t="s">
        <v>1371</v>
      </c>
      <c r="B961" s="10" t="s">
        <v>1351</v>
      </c>
      <c r="C961" s="3" t="str">
        <f>("294194")</f>
        <v>294194</v>
      </c>
      <c r="D961" s="11" t="str">
        <f>("622454600867")</f>
        <v>622454600867</v>
      </c>
      <c r="E961" s="3"/>
      <c r="F961" s="8" t="s">
        <v>1064</v>
      </c>
      <c r="G961" s="14">
        <v>2136.0235963818222</v>
      </c>
      <c r="H961" s="35">
        <v>45689</v>
      </c>
      <c r="I961" s="3">
        <v>52.377000000000002</v>
      </c>
      <c r="J961" s="3" t="s">
        <v>10</v>
      </c>
      <c r="K961" s="11" t="str">
        <f>("00622454600867")</f>
        <v>00622454600867</v>
      </c>
      <c r="L961" s="3">
        <v>1</v>
      </c>
      <c r="M961" s="3"/>
    </row>
    <row r="962" spans="1:13" x14ac:dyDescent="0.25">
      <c r="A962" s="3" t="s">
        <v>1371</v>
      </c>
      <c r="B962" s="10" t="s">
        <v>1351</v>
      </c>
      <c r="C962" s="3" t="str">
        <f>("294195")</f>
        <v>294195</v>
      </c>
      <c r="D962" s="11" t="str">
        <f>("622454600874")</f>
        <v>622454600874</v>
      </c>
      <c r="E962" s="3"/>
      <c r="F962" s="8" t="s">
        <v>1065</v>
      </c>
      <c r="G962" s="14">
        <v>2400.6341896615768</v>
      </c>
      <c r="H962" s="35">
        <v>45689</v>
      </c>
      <c r="I962" s="3">
        <v>61.213000000000001</v>
      </c>
      <c r="J962" s="3" t="s">
        <v>10</v>
      </c>
      <c r="K962" s="11" t="str">
        <f>("00622454600874")</f>
        <v>00622454600874</v>
      </c>
      <c r="L962" s="3">
        <v>1</v>
      </c>
      <c r="M962" s="3"/>
    </row>
    <row r="963" spans="1:13" x14ac:dyDescent="0.25">
      <c r="A963" s="3" t="s">
        <v>1371</v>
      </c>
      <c r="B963" s="10" t="s">
        <v>1351</v>
      </c>
      <c r="C963" s="3" t="str">
        <f>("295284")</f>
        <v>295284</v>
      </c>
      <c r="D963" s="11" t="str">
        <f>("622454612532")</f>
        <v>622454612532</v>
      </c>
      <c r="E963" s="3"/>
      <c r="F963" s="8" t="s">
        <v>1066</v>
      </c>
      <c r="G963" s="14">
        <v>486.50317463831755</v>
      </c>
      <c r="H963" s="35">
        <v>45689</v>
      </c>
      <c r="I963" s="3">
        <v>3.7989999999999999</v>
      </c>
      <c r="J963" s="3" t="s">
        <v>10</v>
      </c>
      <c r="K963" s="11" t="str">
        <f>("00622454612532")</f>
        <v>00622454612532</v>
      </c>
      <c r="L963" s="3">
        <v>1</v>
      </c>
      <c r="M963" s="3"/>
    </row>
    <row r="964" spans="1:13" x14ac:dyDescent="0.25">
      <c r="A964" s="3" t="s">
        <v>1371</v>
      </c>
      <c r="B964" s="10" t="s">
        <v>1351</v>
      </c>
      <c r="C964" s="3" t="str">
        <f>("295286")</f>
        <v>295286</v>
      </c>
      <c r="D964" s="11" t="str">
        <f>("622454612556")</f>
        <v>622454612556</v>
      </c>
      <c r="E964" s="3"/>
      <c r="F964" s="8" t="s">
        <v>1067</v>
      </c>
      <c r="G964" s="14">
        <v>562.93557489120622</v>
      </c>
      <c r="H964" s="35">
        <v>45689</v>
      </c>
      <c r="I964" s="3">
        <v>6.1580000000000004</v>
      </c>
      <c r="J964" s="3" t="s">
        <v>10</v>
      </c>
      <c r="K964" s="11" t="str">
        <f>("00622454612556")</f>
        <v>00622454612556</v>
      </c>
      <c r="L964" s="3">
        <v>1</v>
      </c>
      <c r="M964" s="3"/>
    </row>
    <row r="965" spans="1:13" x14ac:dyDescent="0.25">
      <c r="A965" s="3" t="s">
        <v>1371</v>
      </c>
      <c r="B965" s="10" t="s">
        <v>1351</v>
      </c>
      <c r="C965" s="3" t="str">
        <f>("295288")</f>
        <v>295288</v>
      </c>
      <c r="D965" s="11" t="str">
        <f>("622454612570")</f>
        <v>622454612570</v>
      </c>
      <c r="E965" s="3"/>
      <c r="F965" s="8" t="s">
        <v>1068</v>
      </c>
      <c r="G965" s="14">
        <v>613.68550785603065</v>
      </c>
      <c r="H965" s="35">
        <v>45689</v>
      </c>
      <c r="I965" s="3">
        <v>14.391999999999999</v>
      </c>
      <c r="J965" s="3" t="s">
        <v>10</v>
      </c>
      <c r="K965" s="11" t="str">
        <f>("00622454612570")</f>
        <v>00622454612570</v>
      </c>
      <c r="L965" s="3">
        <v>1</v>
      </c>
      <c r="M965" s="3"/>
    </row>
    <row r="966" spans="1:13" x14ac:dyDescent="0.25">
      <c r="A966" s="3" t="s">
        <v>1371</v>
      </c>
      <c r="B966" s="10" t="s">
        <v>1351</v>
      </c>
      <c r="C966" s="3" t="str">
        <f>("295290")</f>
        <v>295290</v>
      </c>
      <c r="D966" s="11" t="str">
        <f>("622454612594")</f>
        <v>622454612594</v>
      </c>
      <c r="E966" s="3"/>
      <c r="F966" s="8" t="s">
        <v>1069</v>
      </c>
      <c r="G966" s="14">
        <v>597.94146660664239</v>
      </c>
      <c r="H966" s="35">
        <v>45689</v>
      </c>
      <c r="I966" s="3">
        <v>4.7249999999999996</v>
      </c>
      <c r="J966" s="3" t="s">
        <v>10</v>
      </c>
      <c r="K966" s="11" t="str">
        <f>("00622454612594")</f>
        <v>00622454612594</v>
      </c>
      <c r="L966" s="3">
        <v>1</v>
      </c>
      <c r="M966" s="3"/>
    </row>
    <row r="967" spans="1:13" x14ac:dyDescent="0.25">
      <c r="A967" s="3" t="s">
        <v>1371</v>
      </c>
      <c r="B967" s="10" t="s">
        <v>1351</v>
      </c>
      <c r="C967" s="3" t="str">
        <f>("295292")</f>
        <v>295292</v>
      </c>
      <c r="D967" s="11" t="str">
        <f>("622454612617")</f>
        <v>622454612617</v>
      </c>
      <c r="E967" s="3"/>
      <c r="F967" s="8" t="s">
        <v>1070</v>
      </c>
      <c r="G967" s="14">
        <v>697.16582657446554</v>
      </c>
      <c r="H967" s="35">
        <v>45689</v>
      </c>
      <c r="I967" s="3">
        <v>10.811</v>
      </c>
      <c r="J967" s="3" t="s">
        <v>10</v>
      </c>
      <c r="K967" s="11" t="str">
        <f>("00622454612617")</f>
        <v>00622454612617</v>
      </c>
      <c r="L967" s="3">
        <v>1</v>
      </c>
      <c r="M967" s="3"/>
    </row>
    <row r="968" spans="1:13" x14ac:dyDescent="0.25">
      <c r="A968" s="3" t="s">
        <v>1371</v>
      </c>
      <c r="B968" s="10" t="s">
        <v>1351</v>
      </c>
      <c r="C968" s="3" t="str">
        <f>("295294")</f>
        <v>295294</v>
      </c>
      <c r="D968" s="11" t="str">
        <f>("622454612631")</f>
        <v>622454612631</v>
      </c>
      <c r="E968" s="3"/>
      <c r="F968" s="8" t="s">
        <v>1071</v>
      </c>
      <c r="G968" s="14">
        <v>979.41466606642496</v>
      </c>
      <c r="H968" s="35">
        <v>45689</v>
      </c>
      <c r="I968" s="3">
        <v>13.521000000000001</v>
      </c>
      <c r="J968" s="3" t="s">
        <v>10</v>
      </c>
      <c r="K968" s="11" t="str">
        <f>("00622454612631")</f>
        <v>00622454612631</v>
      </c>
      <c r="L968" s="3">
        <v>1</v>
      </c>
      <c r="M968" s="3"/>
    </row>
    <row r="969" spans="1:13" x14ac:dyDescent="0.25">
      <c r="A969" s="3" t="s">
        <v>1371</v>
      </c>
      <c r="B969" s="10" t="s">
        <v>1351</v>
      </c>
      <c r="C969" s="3" t="str">
        <f>("295296")</f>
        <v>295296</v>
      </c>
      <c r="D969" s="11" t="str">
        <f>("622454612655")</f>
        <v>622454612655</v>
      </c>
      <c r="E969" s="3"/>
      <c r="F969" s="8" t="s">
        <v>1072</v>
      </c>
      <c r="G969" s="14">
        <v>758.26008664142705</v>
      </c>
      <c r="H969" s="35">
        <v>45689</v>
      </c>
      <c r="I969" s="3">
        <v>14.297000000000001</v>
      </c>
      <c r="J969" s="3" t="s">
        <v>10</v>
      </c>
      <c r="K969" s="11" t="str">
        <f>("00622454612655")</f>
        <v>00622454612655</v>
      </c>
      <c r="L969" s="3">
        <v>1</v>
      </c>
      <c r="M969" s="3"/>
    </row>
    <row r="970" spans="1:13" x14ac:dyDescent="0.25">
      <c r="A970" s="3" t="s">
        <v>1371</v>
      </c>
      <c r="B970" s="10" t="s">
        <v>1351</v>
      </c>
      <c r="C970" s="3" t="str">
        <f>("295298")</f>
        <v>295298</v>
      </c>
      <c r="D970" s="11" t="str">
        <f>("622454612679")</f>
        <v>622454612679</v>
      </c>
      <c r="E970" s="3"/>
      <c r="F970" s="8" t="s">
        <v>1073</v>
      </c>
      <c r="G970" s="14">
        <v>1082.6488365399518</v>
      </c>
      <c r="H970" s="35">
        <v>45689</v>
      </c>
      <c r="I970" s="3">
        <v>40.546999999999997</v>
      </c>
      <c r="J970" s="3" t="s">
        <v>10</v>
      </c>
      <c r="K970" s="11" t="str">
        <f>("00622454612679")</f>
        <v>00622454612679</v>
      </c>
      <c r="L970" s="3">
        <v>1</v>
      </c>
      <c r="M970" s="3"/>
    </row>
    <row r="971" spans="1:13" x14ac:dyDescent="0.25">
      <c r="A971" s="3" t="s">
        <v>1371</v>
      </c>
      <c r="B971" s="10" t="s">
        <v>1351</v>
      </c>
      <c r="C971" s="3" t="str">
        <f>("295300")</f>
        <v>295300</v>
      </c>
      <c r="D971" s="11" t="str">
        <f>("622454612693")</f>
        <v>622454612693</v>
      </c>
      <c r="E971" s="3"/>
      <c r="F971" s="8" t="s">
        <v>1074</v>
      </c>
      <c r="G971" s="14">
        <v>1279.2894517383636</v>
      </c>
      <c r="H971" s="35">
        <v>45689</v>
      </c>
      <c r="I971" s="3">
        <v>17.391999999999999</v>
      </c>
      <c r="J971" s="3" t="s">
        <v>10</v>
      </c>
      <c r="K971" s="11" t="str">
        <f>("00622454612693")</f>
        <v>00622454612693</v>
      </c>
      <c r="L971" s="3">
        <v>1</v>
      </c>
      <c r="M971" s="3"/>
    </row>
    <row r="972" spans="1:13" x14ac:dyDescent="0.25">
      <c r="A972" s="3" t="s">
        <v>1371</v>
      </c>
      <c r="B972" s="10" t="s">
        <v>1351</v>
      </c>
      <c r="C972" s="3" t="str">
        <f>("295302")</f>
        <v>295302</v>
      </c>
      <c r="D972" s="11" t="str">
        <f>("622454612716")</f>
        <v>622454612716</v>
      </c>
      <c r="E972" s="3"/>
      <c r="F972" s="8" t="s">
        <v>1075</v>
      </c>
      <c r="G972" s="14">
        <v>1490.4318049313288</v>
      </c>
      <c r="H972" s="35">
        <v>45689</v>
      </c>
      <c r="I972" s="3">
        <v>22.71</v>
      </c>
      <c r="J972" s="3" t="s">
        <v>10</v>
      </c>
      <c r="K972" s="11" t="str">
        <f>("00622454612716")</f>
        <v>00622454612716</v>
      </c>
      <c r="L972" s="3">
        <v>1</v>
      </c>
      <c r="M972" s="3"/>
    </row>
    <row r="973" spans="1:13" x14ac:dyDescent="0.25">
      <c r="A973" s="3" t="s">
        <v>1371</v>
      </c>
      <c r="B973" s="10" t="s">
        <v>1351</v>
      </c>
      <c r="C973" s="3" t="str">
        <f>("295304")</f>
        <v>295304</v>
      </c>
      <c r="D973" s="11" t="str">
        <f>("622454612730")</f>
        <v>622454612730</v>
      </c>
      <c r="E973" s="3"/>
      <c r="F973" s="8" t="s">
        <v>1076</v>
      </c>
      <c r="G973" s="14">
        <v>756.61188232313168</v>
      </c>
      <c r="H973" s="35">
        <v>45689</v>
      </c>
      <c r="I973" s="3">
        <v>9.6059999999999999</v>
      </c>
      <c r="J973" s="3" t="s">
        <v>10</v>
      </c>
      <c r="K973" s="11" t="str">
        <f>("00622454612730")</f>
        <v>00622454612730</v>
      </c>
      <c r="L973" s="3">
        <v>1</v>
      </c>
      <c r="M973" s="3"/>
    </row>
    <row r="974" spans="1:13" x14ac:dyDescent="0.25">
      <c r="A974" s="3" t="s">
        <v>1371</v>
      </c>
      <c r="B974" s="10" t="s">
        <v>1351</v>
      </c>
      <c r="C974" s="3" t="str">
        <f>("295306")</f>
        <v>295306</v>
      </c>
      <c r="D974" s="11" t="str">
        <f>("622454612754")</f>
        <v>622454612754</v>
      </c>
      <c r="E974" s="3"/>
      <c r="F974" s="8" t="s">
        <v>1077</v>
      </c>
      <c r="G974" s="14">
        <v>1168.0971604145602</v>
      </c>
      <c r="H974" s="35">
        <v>45689</v>
      </c>
      <c r="I974" s="3">
        <v>13.675000000000001</v>
      </c>
      <c r="J974" s="3" t="s">
        <v>10</v>
      </c>
      <c r="K974" s="11" t="str">
        <f>("00622454612754")</f>
        <v>00622454612754</v>
      </c>
      <c r="L974" s="3">
        <v>1</v>
      </c>
      <c r="M974" s="3"/>
    </row>
    <row r="975" spans="1:13" x14ac:dyDescent="0.25">
      <c r="A975" s="3" t="s">
        <v>1371</v>
      </c>
      <c r="B975" s="10" t="s">
        <v>1351</v>
      </c>
      <c r="C975" s="3" t="str">
        <f>("295308")</f>
        <v>295308</v>
      </c>
      <c r="D975" s="11" t="str">
        <f>("622454612778")</f>
        <v>622454612778</v>
      </c>
      <c r="E975" s="3"/>
      <c r="F975" s="8" t="s">
        <v>1078</v>
      </c>
      <c r="G975" s="14">
        <v>1296.7554974994032</v>
      </c>
      <c r="H975" s="35">
        <v>45689</v>
      </c>
      <c r="I975" s="3">
        <v>18.187999999999999</v>
      </c>
      <c r="J975" s="3" t="s">
        <v>10</v>
      </c>
      <c r="K975" s="11" t="str">
        <f>("00622454612778")</f>
        <v>00622454612778</v>
      </c>
      <c r="L975" s="3">
        <v>1</v>
      </c>
      <c r="M975" s="3"/>
    </row>
    <row r="976" spans="1:13" x14ac:dyDescent="0.25">
      <c r="A976" s="3" t="s">
        <v>1371</v>
      </c>
      <c r="B976" s="10" t="s">
        <v>1351</v>
      </c>
      <c r="C976" s="3" t="str">
        <f>("295310")</f>
        <v>295310</v>
      </c>
      <c r="D976" s="11" t="str">
        <f>("622454612792")</f>
        <v>622454612792</v>
      </c>
      <c r="E976" s="3"/>
      <c r="F976" s="8" t="s">
        <v>1079</v>
      </c>
      <c r="G976" s="14">
        <v>1497.4059232035188</v>
      </c>
      <c r="H976" s="35">
        <v>45689</v>
      </c>
      <c r="I976" s="3">
        <v>19.29</v>
      </c>
      <c r="J976" s="3" t="s">
        <v>10</v>
      </c>
      <c r="K976" s="11" t="str">
        <f>("00622454612792")</f>
        <v>00622454612792</v>
      </c>
      <c r="L976" s="3">
        <v>1</v>
      </c>
      <c r="M976" s="3"/>
    </row>
    <row r="977" spans="1:13" x14ac:dyDescent="0.25">
      <c r="A977" s="3" t="s">
        <v>1371</v>
      </c>
      <c r="B977" s="10" t="s">
        <v>1351</v>
      </c>
      <c r="C977" s="3" t="str">
        <f>("295312")</f>
        <v>295312</v>
      </c>
      <c r="D977" s="11" t="str">
        <f>("622454612815")</f>
        <v>622454612815</v>
      </c>
      <c r="E977" s="3"/>
      <c r="F977" s="8" t="s">
        <v>1080</v>
      </c>
      <c r="G977" s="14">
        <v>1864.8447858933391</v>
      </c>
      <c r="H977" s="35">
        <v>45689</v>
      </c>
      <c r="I977" s="3">
        <v>25.404</v>
      </c>
      <c r="J977" s="3" t="s">
        <v>10</v>
      </c>
      <c r="K977" s="11" t="str">
        <f>("00622454612815")</f>
        <v>00622454612815</v>
      </c>
      <c r="L977" s="3">
        <v>1</v>
      </c>
      <c r="M977" s="3"/>
    </row>
    <row r="978" spans="1:13" x14ac:dyDescent="0.25">
      <c r="A978" s="3" t="s">
        <v>1371</v>
      </c>
      <c r="B978" s="10" t="s">
        <v>1351</v>
      </c>
      <c r="C978" s="3" t="str">
        <f>("295314")</f>
        <v>295314</v>
      </c>
      <c r="D978" s="11" t="str">
        <f>("622454612839")</f>
        <v>622454612839</v>
      </c>
      <c r="E978" s="3"/>
      <c r="F978" s="8" t="s">
        <v>1081</v>
      </c>
      <c r="G978" s="14">
        <v>768.3461130668162</v>
      </c>
      <c r="H978" s="35">
        <v>45689</v>
      </c>
      <c r="I978" s="3">
        <v>9.6920000000000002</v>
      </c>
      <c r="J978" s="3" t="s">
        <v>10</v>
      </c>
      <c r="K978" s="11" t="str">
        <f>("00622454612839")</f>
        <v>00622454612839</v>
      </c>
      <c r="L978" s="3">
        <v>1</v>
      </c>
      <c r="M978" s="3"/>
    </row>
    <row r="979" spans="1:13" x14ac:dyDescent="0.25">
      <c r="A979" s="3" t="s">
        <v>1371</v>
      </c>
      <c r="B979" s="10" t="s">
        <v>1351</v>
      </c>
      <c r="C979" s="3" t="str">
        <f>("295316")</f>
        <v>295316</v>
      </c>
      <c r="D979" s="11" t="str">
        <f>("622454612853")</f>
        <v>622454612853</v>
      </c>
      <c r="E979" s="3"/>
      <c r="F979" s="8" t="s">
        <v>1082</v>
      </c>
      <c r="G979" s="14">
        <v>1062.8088845592777</v>
      </c>
      <c r="H979" s="35">
        <v>45689</v>
      </c>
      <c r="I979" s="3">
        <v>15.571</v>
      </c>
      <c r="J979" s="3" t="s">
        <v>10</v>
      </c>
      <c r="K979" s="11" t="str">
        <f>("00622454612853")</f>
        <v>00622454612853</v>
      </c>
      <c r="L979" s="3">
        <v>1</v>
      </c>
      <c r="M979" s="3"/>
    </row>
    <row r="980" spans="1:13" x14ac:dyDescent="0.25">
      <c r="A980" s="3" t="s">
        <v>1371</v>
      </c>
      <c r="B980" s="10" t="s">
        <v>1351</v>
      </c>
      <c r="C980" s="3" t="str">
        <f>("295318")</f>
        <v>295318</v>
      </c>
      <c r="D980" s="11" t="str">
        <f>("622454612877")</f>
        <v>622454612877</v>
      </c>
      <c r="E980" s="3"/>
      <c r="F980" s="8" t="s">
        <v>1083</v>
      </c>
      <c r="G980" s="14">
        <v>1553.4079699288811</v>
      </c>
      <c r="H980" s="35">
        <v>45689</v>
      </c>
      <c r="I980" s="3">
        <v>20.283000000000001</v>
      </c>
      <c r="J980" s="3" t="s">
        <v>10</v>
      </c>
      <c r="K980" s="11" t="str">
        <f>("00622454612877")</f>
        <v>00622454612877</v>
      </c>
      <c r="L980" s="3">
        <v>1</v>
      </c>
      <c r="M980" s="3"/>
    </row>
    <row r="981" spans="1:13" x14ac:dyDescent="0.25">
      <c r="A981" s="3" t="s">
        <v>1371</v>
      </c>
      <c r="B981" s="10" t="s">
        <v>1351</v>
      </c>
      <c r="C981" s="3" t="str">
        <f>("295320")</f>
        <v>295320</v>
      </c>
      <c r="D981" s="11" t="str">
        <f>("622454612891")</f>
        <v>622454612891</v>
      </c>
      <c r="E981" s="3"/>
      <c r="F981" s="8" t="s">
        <v>1084</v>
      </c>
      <c r="G981" s="14">
        <v>1745.9526743960071</v>
      </c>
      <c r="H981" s="35">
        <v>45689</v>
      </c>
      <c r="I981" s="3">
        <v>28.667000000000002</v>
      </c>
      <c r="J981" s="3" t="s">
        <v>10</v>
      </c>
      <c r="K981" s="11" t="str">
        <f>("00622454612891")</f>
        <v>00622454612891</v>
      </c>
      <c r="L981" s="3">
        <v>1</v>
      </c>
      <c r="M981" s="3"/>
    </row>
    <row r="982" spans="1:13" x14ac:dyDescent="0.25">
      <c r="A982" s="3" t="s">
        <v>1371</v>
      </c>
      <c r="B982" s="10" t="s">
        <v>1351</v>
      </c>
      <c r="C982" s="3" t="str">
        <f>("295322")</f>
        <v>295322</v>
      </c>
      <c r="D982" s="11" t="str">
        <f>("622454612914")</f>
        <v>622454612914</v>
      </c>
      <c r="E982" s="3"/>
      <c r="F982" s="8" t="s">
        <v>1085</v>
      </c>
      <c r="G982" s="14">
        <v>2058.0413920684473</v>
      </c>
      <c r="H982" s="35">
        <v>45689</v>
      </c>
      <c r="I982" s="3">
        <v>20.225000000000001</v>
      </c>
      <c r="J982" s="3" t="s">
        <v>10</v>
      </c>
      <c r="K982" s="11" t="str">
        <f>("00622454612914")</f>
        <v>00622454612914</v>
      </c>
      <c r="L982" s="3">
        <v>1</v>
      </c>
      <c r="M982" s="3"/>
    </row>
    <row r="983" spans="1:13" x14ac:dyDescent="0.25">
      <c r="A983" s="3" t="s">
        <v>1371</v>
      </c>
      <c r="B983" s="10" t="s">
        <v>1351</v>
      </c>
      <c r="C983" s="3" t="str">
        <f>("295324")</f>
        <v>295324</v>
      </c>
      <c r="D983" s="11" t="str">
        <f>("622454612938")</f>
        <v>622454612938</v>
      </c>
      <c r="E983" s="3"/>
      <c r="F983" s="8" t="s">
        <v>1086</v>
      </c>
      <c r="G983" s="14">
        <v>2497.8044442476439</v>
      </c>
      <c r="H983" s="35">
        <v>45689</v>
      </c>
      <c r="I983" s="3">
        <v>38.058</v>
      </c>
      <c r="J983" s="3" t="s">
        <v>10</v>
      </c>
      <c r="K983" s="11" t="str">
        <f>("00622454612938")</f>
        <v>00622454612938</v>
      </c>
      <c r="L983" s="3">
        <v>1</v>
      </c>
      <c r="M983" s="3"/>
    </row>
    <row r="984" spans="1:13" x14ac:dyDescent="0.25">
      <c r="A984" s="3" t="s">
        <v>1371</v>
      </c>
      <c r="B984" s="10" t="s">
        <v>1351</v>
      </c>
      <c r="C984" s="3" t="str">
        <f>("295326")</f>
        <v>295326</v>
      </c>
      <c r="D984" s="11" t="str">
        <f>("622454612952")</f>
        <v>622454612952</v>
      </c>
      <c r="E984" s="3"/>
      <c r="F984" s="8" t="s">
        <v>1087</v>
      </c>
      <c r="G984" s="14">
        <v>911.1863873083347</v>
      </c>
      <c r="H984" s="35">
        <v>45689</v>
      </c>
      <c r="I984" s="3">
        <v>11.132999999999999</v>
      </c>
      <c r="J984" s="3" t="s">
        <v>10</v>
      </c>
      <c r="K984" s="11" t="str">
        <f>("00622454612952")</f>
        <v>00622454612952</v>
      </c>
      <c r="L984" s="3">
        <v>1</v>
      </c>
      <c r="M984" s="3"/>
    </row>
    <row r="985" spans="1:13" x14ac:dyDescent="0.25">
      <c r="A985" s="3" t="s">
        <v>1371</v>
      </c>
      <c r="B985" s="10" t="s">
        <v>1351</v>
      </c>
      <c r="C985" s="3" t="str">
        <f>("295327")</f>
        <v>295327</v>
      </c>
      <c r="D985" s="11" t="str">
        <f>("622454612969")</f>
        <v>622454612969</v>
      </c>
      <c r="E985" s="3"/>
      <c r="F985" s="8" t="s">
        <v>1088</v>
      </c>
      <c r="G985" s="14">
        <v>1234.9232354988769</v>
      </c>
      <c r="H985" s="35">
        <v>45689</v>
      </c>
      <c r="I985" s="3">
        <v>27.623999999999999</v>
      </c>
      <c r="J985" s="3" t="s">
        <v>10</v>
      </c>
      <c r="K985" s="11" t="str">
        <f>("00622454612969")</f>
        <v>00622454612969</v>
      </c>
      <c r="L985" s="3">
        <v>1</v>
      </c>
      <c r="M985" s="3"/>
    </row>
    <row r="986" spans="1:13" x14ac:dyDescent="0.25">
      <c r="A986" s="3" t="s">
        <v>1371</v>
      </c>
      <c r="B986" s="10" t="s">
        <v>1351</v>
      </c>
      <c r="C986" s="3" t="str">
        <f>("295328")</f>
        <v>295328</v>
      </c>
      <c r="D986" s="11" t="str">
        <f>("622454612976")</f>
        <v>622454612976</v>
      </c>
      <c r="E986" s="3"/>
      <c r="F986" s="8" t="s">
        <v>1089</v>
      </c>
      <c r="G986" s="14">
        <v>1441.3177762525736</v>
      </c>
      <c r="H986" s="35">
        <v>45689</v>
      </c>
      <c r="I986" s="3">
        <v>33.008000000000003</v>
      </c>
      <c r="J986" s="3" t="s">
        <v>10</v>
      </c>
      <c r="K986" s="11" t="str">
        <f>("00622454612976")</f>
        <v>00622454612976</v>
      </c>
      <c r="L986" s="3">
        <v>1</v>
      </c>
      <c r="M986" s="3"/>
    </row>
    <row r="987" spans="1:13" x14ac:dyDescent="0.25">
      <c r="A987" s="3" t="s">
        <v>1371</v>
      </c>
      <c r="B987" s="10" t="s">
        <v>1351</v>
      </c>
      <c r="C987" s="3" t="str">
        <f>("295329")</f>
        <v>295329</v>
      </c>
      <c r="D987" s="11" t="str">
        <f>("622454612983")</f>
        <v>622454612983</v>
      </c>
      <c r="E987" s="3"/>
      <c r="F987" s="8" t="s">
        <v>1090</v>
      </c>
      <c r="G987" s="14">
        <v>2104.6954143019852</v>
      </c>
      <c r="H987" s="35">
        <v>45689</v>
      </c>
      <c r="I987" s="3">
        <v>26.742000000000001</v>
      </c>
      <c r="J987" s="3" t="s">
        <v>10</v>
      </c>
      <c r="K987" s="11" t="str">
        <f>("00622454612983")</f>
        <v>00622454612983</v>
      </c>
      <c r="L987" s="3">
        <v>1</v>
      </c>
      <c r="M987" s="3"/>
    </row>
    <row r="988" spans="1:13" x14ac:dyDescent="0.25">
      <c r="A988" s="3" t="s">
        <v>1371</v>
      </c>
      <c r="B988" s="10" t="s">
        <v>1351</v>
      </c>
      <c r="C988" s="3" t="str">
        <f>("295330")</f>
        <v>295330</v>
      </c>
      <c r="D988" s="11" t="str">
        <f>("622454612990")</f>
        <v>622454612990</v>
      </c>
      <c r="E988" s="3"/>
      <c r="F988" s="8" t="s">
        <v>1091</v>
      </c>
      <c r="G988" s="14">
        <v>2563.7326169794565</v>
      </c>
      <c r="H988" s="35">
        <v>45689</v>
      </c>
      <c r="I988" s="3">
        <v>32.731999999999999</v>
      </c>
      <c r="J988" s="3" t="s">
        <v>10</v>
      </c>
      <c r="K988" s="11" t="str">
        <f>("00622454612990")</f>
        <v>00622454612990</v>
      </c>
      <c r="L988" s="3">
        <v>1</v>
      </c>
      <c r="M988" s="3"/>
    </row>
    <row r="989" spans="1:13" x14ac:dyDescent="0.25">
      <c r="A989" s="3" t="s">
        <v>1371</v>
      </c>
      <c r="B989" s="10" t="s">
        <v>1351</v>
      </c>
      <c r="C989" s="3" t="str">
        <f>("295331")</f>
        <v>295331</v>
      </c>
      <c r="D989" s="11" t="str">
        <f>("622454613072")</f>
        <v>622454613072</v>
      </c>
      <c r="E989" s="3"/>
      <c r="F989" s="8" t="s">
        <v>1092</v>
      </c>
      <c r="G989" s="14">
        <v>3070.1741438562572</v>
      </c>
      <c r="H989" s="35">
        <v>45689</v>
      </c>
      <c r="I989" s="3">
        <v>43.454999999999998</v>
      </c>
      <c r="J989" s="3" t="s">
        <v>10</v>
      </c>
      <c r="K989" s="11" t="str">
        <f>("00622454613072")</f>
        <v>00622454613072</v>
      </c>
      <c r="L989" s="3">
        <v>1</v>
      </c>
      <c r="M989" s="3"/>
    </row>
    <row r="990" spans="1:13" x14ac:dyDescent="0.25">
      <c r="A990" s="3" t="s">
        <v>1371</v>
      </c>
      <c r="B990" s="10" t="s">
        <v>1351</v>
      </c>
      <c r="C990" s="3" t="str">
        <f>("295332")</f>
        <v>295332</v>
      </c>
      <c r="D990" s="11" t="str">
        <f>("622454613119")</f>
        <v>622454613119</v>
      </c>
      <c r="E990" s="3"/>
      <c r="F990" s="8" t="s">
        <v>1093</v>
      </c>
      <c r="G990" s="14">
        <v>3597.4273252595922</v>
      </c>
      <c r="H990" s="35">
        <v>45689</v>
      </c>
      <c r="I990" s="3">
        <v>54.26</v>
      </c>
      <c r="J990" s="3" t="s">
        <v>10</v>
      </c>
      <c r="K990" s="11" t="str">
        <f>("00622454613119")</f>
        <v>00622454613119</v>
      </c>
      <c r="L990" s="3">
        <v>1</v>
      </c>
      <c r="M990" s="3"/>
    </row>
    <row r="991" spans="1:13" x14ac:dyDescent="0.25">
      <c r="A991" s="3" t="s">
        <v>1371</v>
      </c>
      <c r="B991" s="10" t="s">
        <v>1351</v>
      </c>
      <c r="C991" s="3" t="str">
        <f>("295333")</f>
        <v>295333</v>
      </c>
      <c r="D991" s="11" t="str">
        <f>("622454613133")</f>
        <v>622454613133</v>
      </c>
      <c r="E991" s="3"/>
      <c r="F991" s="8" t="s">
        <v>1094</v>
      </c>
      <c r="G991" s="14">
        <v>1119.389032799266</v>
      </c>
      <c r="H991" s="35">
        <v>45689</v>
      </c>
      <c r="I991" s="3">
        <v>9.8610000000000007</v>
      </c>
      <c r="J991" s="3" t="s">
        <v>10</v>
      </c>
      <c r="K991" s="11" t="str">
        <f>("00622454613133")</f>
        <v>00622454613133</v>
      </c>
      <c r="L991" s="3">
        <v>1</v>
      </c>
      <c r="M991" s="3"/>
    </row>
    <row r="992" spans="1:13" x14ac:dyDescent="0.25">
      <c r="A992" s="3" t="s">
        <v>1371</v>
      </c>
      <c r="B992" s="10" t="s">
        <v>1351</v>
      </c>
      <c r="C992" s="3" t="str">
        <f>("295334")</f>
        <v>295334</v>
      </c>
      <c r="D992" s="11" t="str">
        <f>("622454613140")</f>
        <v>622454613140</v>
      </c>
      <c r="E992" s="3"/>
      <c r="F992" s="8" t="s">
        <v>1095</v>
      </c>
      <c r="G992" s="14">
        <v>1548.0820559749864</v>
      </c>
      <c r="H992" s="35">
        <v>45689</v>
      </c>
      <c r="I992" s="3">
        <v>35.295999999999999</v>
      </c>
      <c r="J992" s="3" t="s">
        <v>10</v>
      </c>
      <c r="K992" s="11" t="str">
        <f>("00622454613140")</f>
        <v>00622454613140</v>
      </c>
      <c r="L992" s="3">
        <v>1</v>
      </c>
      <c r="M992" s="3"/>
    </row>
    <row r="993" spans="1:13" x14ac:dyDescent="0.25">
      <c r="A993" s="3" t="s">
        <v>1371</v>
      </c>
      <c r="B993" s="10" t="s">
        <v>1351</v>
      </c>
      <c r="C993" s="3" t="str">
        <f>("295335")</f>
        <v>295335</v>
      </c>
      <c r="D993" s="11" t="str">
        <f>("622454613164")</f>
        <v>622454613164</v>
      </c>
      <c r="E993" s="3"/>
      <c r="F993" s="8" t="s">
        <v>1096</v>
      </c>
      <c r="G993" s="14">
        <v>1608.1923134638612</v>
      </c>
      <c r="H993" s="35">
        <v>45689</v>
      </c>
      <c r="I993" s="3">
        <v>41.502000000000002</v>
      </c>
      <c r="J993" s="3" t="s">
        <v>10</v>
      </c>
      <c r="K993" s="11" t="str">
        <f>("00622454613164")</f>
        <v>00622454613164</v>
      </c>
      <c r="L993" s="3">
        <v>1</v>
      </c>
      <c r="M993" s="3"/>
    </row>
    <row r="994" spans="1:13" x14ac:dyDescent="0.25">
      <c r="A994" s="3" t="s">
        <v>1371</v>
      </c>
      <c r="B994" s="10" t="s">
        <v>1351</v>
      </c>
      <c r="C994" s="3" t="str">
        <f>("295336")</f>
        <v>295336</v>
      </c>
      <c r="D994" s="11" t="str">
        <f>("622454613171")</f>
        <v>622454613171</v>
      </c>
      <c r="E994" s="3"/>
      <c r="F994" s="8" t="s">
        <v>1097</v>
      </c>
      <c r="G994" s="14">
        <v>2709.0451976984177</v>
      </c>
      <c r="H994" s="35">
        <v>45689</v>
      </c>
      <c r="I994" s="3">
        <v>19.545999999999999</v>
      </c>
      <c r="J994" s="3" t="s">
        <v>10</v>
      </c>
      <c r="K994" s="11" t="str">
        <f>("00622454613171")</f>
        <v>00622454613171</v>
      </c>
      <c r="L994" s="3">
        <v>1</v>
      </c>
      <c r="M994" s="3"/>
    </row>
    <row r="995" spans="1:13" x14ac:dyDescent="0.25">
      <c r="A995" s="3" t="s">
        <v>1371</v>
      </c>
      <c r="B995" s="10" t="s">
        <v>1351</v>
      </c>
      <c r="C995" s="3" t="str">
        <f>("295337")</f>
        <v>295337</v>
      </c>
      <c r="D995" s="11" t="str">
        <f>("622454613188")</f>
        <v>622454613188</v>
      </c>
      <c r="E995" s="3"/>
      <c r="F995" s="8" t="s">
        <v>1098</v>
      </c>
      <c r="G995" s="14">
        <v>3157.0123713724133</v>
      </c>
      <c r="H995" s="35">
        <v>45689</v>
      </c>
      <c r="I995" s="3">
        <v>25.66</v>
      </c>
      <c r="J995" s="3" t="s">
        <v>10</v>
      </c>
      <c r="K995" s="11" t="str">
        <f>("00622454613188")</f>
        <v>00622454613188</v>
      </c>
      <c r="L995" s="3">
        <v>1</v>
      </c>
      <c r="M995" s="3"/>
    </row>
    <row r="996" spans="1:13" x14ac:dyDescent="0.25">
      <c r="A996" s="3" t="s">
        <v>1371</v>
      </c>
      <c r="B996" s="10" t="s">
        <v>1351</v>
      </c>
      <c r="C996" s="3" t="str">
        <f>("295338")</f>
        <v>295338</v>
      </c>
      <c r="D996" s="11" t="str">
        <f>("622454613195")</f>
        <v>622454613195</v>
      </c>
      <c r="E996" s="3"/>
      <c r="F996" s="8" t="s">
        <v>1099</v>
      </c>
      <c r="G996" s="14">
        <v>3738.557895021685</v>
      </c>
      <c r="H996" s="35">
        <v>45689</v>
      </c>
      <c r="I996" s="3">
        <v>48.539000000000001</v>
      </c>
      <c r="J996" s="3" t="s">
        <v>10</v>
      </c>
      <c r="K996" s="11" t="str">
        <f>("00622454613195")</f>
        <v>00622454613195</v>
      </c>
      <c r="L996" s="3">
        <v>1</v>
      </c>
      <c r="M996" s="3"/>
    </row>
    <row r="997" spans="1:13" x14ac:dyDescent="0.25">
      <c r="A997" s="3" t="s">
        <v>1371</v>
      </c>
      <c r="B997" s="10" t="s">
        <v>1351</v>
      </c>
      <c r="C997" s="3" t="str">
        <f>("295339")</f>
        <v>295339</v>
      </c>
      <c r="D997" s="11" t="str">
        <f>("622454613201")</f>
        <v>622454613201</v>
      </c>
      <c r="E997" s="3"/>
      <c r="F997" s="8" t="s">
        <v>1100</v>
      </c>
      <c r="G997" s="14">
        <v>4295.6632546377268</v>
      </c>
      <c r="H997" s="35">
        <v>45689</v>
      </c>
      <c r="I997" s="3">
        <v>59.258000000000003</v>
      </c>
      <c r="J997" s="3" t="s">
        <v>10</v>
      </c>
      <c r="K997" s="11" t="str">
        <f>("00622454613201")</f>
        <v>00622454613201</v>
      </c>
      <c r="L997" s="3">
        <v>1</v>
      </c>
      <c r="M997" s="3"/>
    </row>
    <row r="998" spans="1:13" x14ac:dyDescent="0.25">
      <c r="A998" s="3" t="s">
        <v>1371</v>
      </c>
      <c r="B998" s="10" t="s">
        <v>1351</v>
      </c>
      <c r="C998" s="3" t="str">
        <f>("295340")</f>
        <v>295340</v>
      </c>
      <c r="D998" s="11" t="str">
        <f>("622454613225")</f>
        <v>622454613225</v>
      </c>
      <c r="E998" s="3"/>
      <c r="F998" s="8" t="s">
        <v>1101</v>
      </c>
      <c r="G998" s="14">
        <v>1252.4753814854992</v>
      </c>
      <c r="H998" s="35">
        <v>45689</v>
      </c>
      <c r="I998" s="3">
        <v>9.8219999999999992</v>
      </c>
      <c r="J998" s="3" t="s">
        <v>10</v>
      </c>
      <c r="K998" s="11" t="str">
        <f>("00622454613225")</f>
        <v>00622454613225</v>
      </c>
      <c r="L998" s="3">
        <v>1</v>
      </c>
      <c r="M998" s="3"/>
    </row>
    <row r="999" spans="1:13" x14ac:dyDescent="0.25">
      <c r="A999" s="3" t="s">
        <v>1371</v>
      </c>
      <c r="B999" s="10" t="s">
        <v>1351</v>
      </c>
      <c r="C999" s="3" t="str">
        <f>("295341")</f>
        <v>295341</v>
      </c>
      <c r="D999" s="11" t="str">
        <f>("622454613232")</f>
        <v>622454613232</v>
      </c>
      <c r="E999" s="3"/>
      <c r="F999" s="8" t="s">
        <v>1102</v>
      </c>
      <c r="G999" s="14">
        <v>1943.651092365862</v>
      </c>
      <c r="H999" s="35">
        <v>45689</v>
      </c>
      <c r="I999" s="3">
        <v>43.808</v>
      </c>
      <c r="J999" s="3" t="s">
        <v>10</v>
      </c>
      <c r="K999" s="11" t="str">
        <f>("00622454613232")</f>
        <v>00622454613232</v>
      </c>
      <c r="L999" s="3">
        <v>1</v>
      </c>
      <c r="M999" s="3"/>
    </row>
    <row r="1000" spans="1:13" x14ac:dyDescent="0.25">
      <c r="A1000" s="3" t="s">
        <v>1371</v>
      </c>
      <c r="B1000" s="10" t="s">
        <v>1351</v>
      </c>
      <c r="C1000" s="3" t="str">
        <f>("295342")</f>
        <v>295342</v>
      </c>
      <c r="D1000" s="11" t="str">
        <f>("622454613249")</f>
        <v>622454613249</v>
      </c>
      <c r="E1000" s="3"/>
      <c r="F1000" s="8" t="s">
        <v>1103</v>
      </c>
      <c r="G1000" s="14">
        <v>1988.0173086053487</v>
      </c>
      <c r="H1000" s="35">
        <v>45689</v>
      </c>
      <c r="I1000" s="3">
        <v>50.970999999999997</v>
      </c>
      <c r="J1000" s="3" t="s">
        <v>10</v>
      </c>
      <c r="K1000" s="11" t="str">
        <f>("00622454613249")</f>
        <v>00622454613249</v>
      </c>
      <c r="L1000" s="3">
        <v>1</v>
      </c>
      <c r="M1000" s="3"/>
    </row>
    <row r="1001" spans="1:13" x14ac:dyDescent="0.25">
      <c r="A1001" s="3" t="s">
        <v>1371</v>
      </c>
      <c r="B1001" s="10" t="s">
        <v>1351</v>
      </c>
      <c r="C1001" s="3" t="str">
        <f>("295343")</f>
        <v>295343</v>
      </c>
      <c r="D1001" s="11" t="str">
        <f>("622454613256")</f>
        <v>622454613256</v>
      </c>
      <c r="E1001" s="3"/>
      <c r="F1001" s="8" t="s">
        <v>1104</v>
      </c>
      <c r="G1001" s="14">
        <v>2702.0710794262282</v>
      </c>
      <c r="H1001" s="35">
        <v>45689</v>
      </c>
      <c r="I1001" s="3">
        <v>23.812000000000001</v>
      </c>
      <c r="J1001" s="3" t="s">
        <v>10</v>
      </c>
      <c r="K1001" s="11" t="str">
        <f>("00622454613256")</f>
        <v>00622454613256</v>
      </c>
      <c r="L1001" s="3">
        <v>1</v>
      </c>
      <c r="M1001" s="3"/>
    </row>
    <row r="1002" spans="1:13" x14ac:dyDescent="0.25">
      <c r="A1002" s="3" t="s">
        <v>1371</v>
      </c>
      <c r="B1002" s="10" t="s">
        <v>1351</v>
      </c>
      <c r="C1002" s="3" t="str">
        <f>("295344")</f>
        <v>295344</v>
      </c>
      <c r="D1002" s="11" t="str">
        <f>("622454613263")</f>
        <v>622454613263</v>
      </c>
      <c r="E1002" s="3"/>
      <c r="F1002" s="8" t="s">
        <v>1105</v>
      </c>
      <c r="G1002" s="14">
        <v>4507.4698095709009</v>
      </c>
      <c r="H1002" s="35">
        <v>45689</v>
      </c>
      <c r="I1002" s="3">
        <v>34.643000000000001</v>
      </c>
      <c r="J1002" s="3" t="s">
        <v>10</v>
      </c>
      <c r="K1002" s="11" t="str">
        <f>("00622454613263")</f>
        <v>00622454613263</v>
      </c>
      <c r="L1002" s="3">
        <v>1</v>
      </c>
      <c r="M1002" s="3"/>
    </row>
    <row r="1003" spans="1:13" x14ac:dyDescent="0.25">
      <c r="A1003" s="3" t="s">
        <v>1371</v>
      </c>
      <c r="B1003" s="10" t="s">
        <v>1351</v>
      </c>
      <c r="C1003" s="3" t="str">
        <f>("295345")</f>
        <v>295345</v>
      </c>
      <c r="D1003" s="11" t="str">
        <f>("622454613270")</f>
        <v>622454613270</v>
      </c>
      <c r="E1003" s="3"/>
      <c r="F1003" s="8" t="s">
        <v>1106</v>
      </c>
      <c r="G1003" s="14">
        <v>4619.4001028282692</v>
      </c>
      <c r="H1003" s="35">
        <v>45689</v>
      </c>
      <c r="I1003" s="3">
        <v>59.368000000000002</v>
      </c>
      <c r="J1003" s="3" t="s">
        <v>10</v>
      </c>
      <c r="K1003" s="11" t="str">
        <f>("00622454613270")</f>
        <v>00622454613270</v>
      </c>
      <c r="L1003" s="3">
        <v>1</v>
      </c>
      <c r="M1003" s="3"/>
    </row>
    <row r="1004" spans="1:13" ht="15.75" thickBot="1" x14ac:dyDescent="0.3">
      <c r="A1004" s="31" t="s">
        <v>1371</v>
      </c>
      <c r="B1004" s="32" t="s">
        <v>1351</v>
      </c>
      <c r="C1004" s="31" t="str">
        <f>("295346")</f>
        <v>295346</v>
      </c>
      <c r="D1004" s="33" t="str">
        <f>("622454613294")</f>
        <v>622454613294</v>
      </c>
      <c r="E1004" s="31"/>
      <c r="F1004" s="34" t="s">
        <v>1107</v>
      </c>
      <c r="G1004" s="37">
        <v>5230.1336029500389</v>
      </c>
      <c r="H1004" s="38">
        <v>45689</v>
      </c>
      <c r="I1004" s="31">
        <v>61.213000000000001</v>
      </c>
      <c r="J1004" s="31" t="s">
        <v>10</v>
      </c>
      <c r="K1004" s="33" t="str">
        <f>("00622454613294")</f>
        <v>00622454613294</v>
      </c>
      <c r="L1004" s="31">
        <v>1</v>
      </c>
      <c r="M1004" s="31"/>
    </row>
    <row r="1005" spans="1:13" ht="15.75" thickTop="1" x14ac:dyDescent="0.25">
      <c r="A1005" s="26" t="s">
        <v>1371</v>
      </c>
      <c r="B1005" s="27" t="s">
        <v>1351</v>
      </c>
      <c r="C1005" s="26" t="str">
        <f>("753076")</f>
        <v>753076</v>
      </c>
      <c r="D1005" s="28" t="str">
        <f>("662671117571")</f>
        <v>662671117571</v>
      </c>
      <c r="E1005" s="26" t="s">
        <v>1108</v>
      </c>
      <c r="F1005" s="29" t="s">
        <v>1109</v>
      </c>
      <c r="G1005" s="30">
        <v>4.7300000000000004</v>
      </c>
      <c r="H1005" s="36">
        <v>45689</v>
      </c>
      <c r="I1005" s="26">
        <v>1.4999999999999999E-2</v>
      </c>
      <c r="J1005" s="26" t="s">
        <v>1110</v>
      </c>
      <c r="K1005" s="28" t="str">
        <f>("10662671117578")</f>
        <v>10662671117578</v>
      </c>
      <c r="L1005" s="26">
        <v>50</v>
      </c>
      <c r="M1005" s="26">
        <v>24500</v>
      </c>
    </row>
    <row r="1006" spans="1:13" x14ac:dyDescent="0.25">
      <c r="A1006" s="3" t="s">
        <v>1371</v>
      </c>
      <c r="B1006" s="10" t="s">
        <v>1351</v>
      </c>
      <c r="C1006" s="3" t="str">
        <f>("753085")</f>
        <v>753085</v>
      </c>
      <c r="D1006" s="11" t="str">
        <f>("662671117588")</f>
        <v>662671117588</v>
      </c>
      <c r="E1006" s="3" t="s">
        <v>1111</v>
      </c>
      <c r="F1006" s="8" t="s">
        <v>1112</v>
      </c>
      <c r="G1006" s="14">
        <v>7.98</v>
      </c>
      <c r="H1006" s="35">
        <v>45689</v>
      </c>
      <c r="I1006" s="3">
        <v>3.5000000000000003E-2</v>
      </c>
      <c r="J1006" s="3" t="s">
        <v>1110</v>
      </c>
      <c r="K1006" s="11" t="str">
        <f>("10662671117585")</f>
        <v>10662671117585</v>
      </c>
      <c r="L1006" s="3">
        <v>100</v>
      </c>
      <c r="M1006" s="3">
        <v>14400</v>
      </c>
    </row>
    <row r="1007" spans="1:13" x14ac:dyDescent="0.25">
      <c r="A1007" s="3" t="s">
        <v>1371</v>
      </c>
      <c r="B1007" s="10" t="s">
        <v>1351</v>
      </c>
      <c r="C1007" s="3" t="str">
        <f>("753335")</f>
        <v>753335</v>
      </c>
      <c r="D1007" s="11" t="str">
        <f>("662671057457")</f>
        <v>662671057457</v>
      </c>
      <c r="E1007" s="3" t="s">
        <v>1113</v>
      </c>
      <c r="F1007" s="8" t="s">
        <v>1114</v>
      </c>
      <c r="G1007" s="14">
        <v>12.7</v>
      </c>
      <c r="H1007" s="35">
        <v>45689</v>
      </c>
      <c r="I1007" s="3">
        <v>4.2000000000000003E-2</v>
      </c>
      <c r="J1007" s="3" t="s">
        <v>1110</v>
      </c>
      <c r="K1007" s="11" t="str">
        <f>("10662671057454")</f>
        <v>10662671057454</v>
      </c>
      <c r="L1007" s="3">
        <v>70</v>
      </c>
      <c r="M1007" s="3">
        <v>10080</v>
      </c>
    </row>
    <row r="1008" spans="1:13" x14ac:dyDescent="0.25">
      <c r="A1008" s="3" t="s">
        <v>1371</v>
      </c>
      <c r="B1008" s="10" t="s">
        <v>1351</v>
      </c>
      <c r="C1008" s="3" t="str">
        <f>("754573")</f>
        <v>754573</v>
      </c>
      <c r="D1008" s="11" t="str">
        <f>("662671130235")</f>
        <v>662671130235</v>
      </c>
      <c r="E1008" s="3" t="s">
        <v>1115</v>
      </c>
      <c r="F1008" s="8" t="s">
        <v>1116</v>
      </c>
      <c r="G1008" s="14">
        <v>16.739999999999998</v>
      </c>
      <c r="H1008" s="35">
        <v>45689</v>
      </c>
      <c r="I1008" s="3">
        <v>0.30199999999999999</v>
      </c>
      <c r="J1008" s="3" t="s">
        <v>1110</v>
      </c>
      <c r="K1008" s="11" t="str">
        <f>("10662671130232")</f>
        <v>10662671130232</v>
      </c>
      <c r="L1008" s="3">
        <v>15</v>
      </c>
      <c r="M1008" s="3">
        <v>1080</v>
      </c>
    </row>
    <row r="1009" spans="1:13" x14ac:dyDescent="0.25">
      <c r="A1009" s="3" t="s">
        <v>1371</v>
      </c>
      <c r="B1009" s="10" t="s">
        <v>1351</v>
      </c>
      <c r="C1009" s="3" t="str">
        <f>("754574")</f>
        <v>754574</v>
      </c>
      <c r="D1009" s="11" t="str">
        <f>("662671130242")</f>
        <v>662671130242</v>
      </c>
      <c r="E1009" s="3" t="s">
        <v>1117</v>
      </c>
      <c r="F1009" s="8" t="s">
        <v>1118</v>
      </c>
      <c r="G1009" s="14">
        <v>16.739999999999998</v>
      </c>
      <c r="H1009" s="35">
        <v>45689</v>
      </c>
      <c r="I1009" s="3">
        <v>0.26900000000000002</v>
      </c>
      <c r="J1009" s="3" t="s">
        <v>1110</v>
      </c>
      <c r="K1009" s="11" t="str">
        <f>("10662671130249")</f>
        <v>10662671130249</v>
      </c>
      <c r="L1009" s="3">
        <v>15</v>
      </c>
      <c r="M1009" s="3">
        <v>1080</v>
      </c>
    </row>
    <row r="1010" spans="1:13" x14ac:dyDescent="0.25">
      <c r="A1010" s="3" t="s">
        <v>1371</v>
      </c>
      <c r="B1010" s="10" t="s">
        <v>1351</v>
      </c>
      <c r="C1010" s="3" t="str">
        <f>("754577")</f>
        <v>754577</v>
      </c>
      <c r="D1010" s="11" t="str">
        <f>("662671130020")</f>
        <v>662671130020</v>
      </c>
      <c r="E1010" s="3">
        <v>133608</v>
      </c>
      <c r="F1010" s="8" t="s">
        <v>1119</v>
      </c>
      <c r="G1010" s="14">
        <v>40.01</v>
      </c>
      <c r="H1010" s="35">
        <v>45689</v>
      </c>
      <c r="I1010" s="3">
        <v>0.47599999999999998</v>
      </c>
      <c r="J1010" s="3" t="s">
        <v>1110</v>
      </c>
      <c r="K1010" s="11" t="str">
        <f>("10662671130027")</f>
        <v>10662671130027</v>
      </c>
      <c r="L1010" s="3">
        <v>15</v>
      </c>
      <c r="M1010" s="3">
        <v>2160</v>
      </c>
    </row>
    <row r="1011" spans="1:13" x14ac:dyDescent="0.25">
      <c r="A1011" s="3" t="s">
        <v>1371</v>
      </c>
      <c r="B1011" s="10" t="s">
        <v>1351</v>
      </c>
      <c r="C1011" s="3" t="str">
        <f>("754567")</f>
        <v>754567</v>
      </c>
      <c r="D1011" s="11" t="str">
        <f>("662671214188")</f>
        <v>662671214188</v>
      </c>
      <c r="E1011" s="3">
        <v>13212011</v>
      </c>
      <c r="F1011" s="8" t="s">
        <v>1120</v>
      </c>
      <c r="G1011" s="14">
        <v>55.8</v>
      </c>
      <c r="H1011" s="35">
        <v>45689</v>
      </c>
      <c r="I1011" s="3">
        <v>0.34599999999999997</v>
      </c>
      <c r="J1011" s="3" t="s">
        <v>1110</v>
      </c>
      <c r="K1011" s="11" t="str">
        <f>("10662671214185")</f>
        <v>10662671214185</v>
      </c>
      <c r="L1011" s="3">
        <v>10</v>
      </c>
      <c r="M1011" s="3"/>
    </row>
    <row r="1012" spans="1:13" x14ac:dyDescent="0.25">
      <c r="A1012" s="3" t="s">
        <v>1371</v>
      </c>
      <c r="B1012" s="10" t="s">
        <v>1351</v>
      </c>
      <c r="C1012" s="3" t="str">
        <f>("757064")</f>
        <v>757064</v>
      </c>
      <c r="D1012" s="11" t="str">
        <f>("662671057440")</f>
        <v>662671057440</v>
      </c>
      <c r="E1012" s="3" t="s">
        <v>1121</v>
      </c>
      <c r="F1012" s="8" t="s">
        <v>1122</v>
      </c>
      <c r="G1012" s="14">
        <v>7.52</v>
      </c>
      <c r="H1012" s="35">
        <v>45689</v>
      </c>
      <c r="I1012" s="3">
        <v>0.72299999999999998</v>
      </c>
      <c r="J1012" s="3" t="s">
        <v>1110</v>
      </c>
      <c r="K1012" s="11" t="str">
        <f>("10662671057447")</f>
        <v>10662671057447</v>
      </c>
      <c r="L1012" s="3">
        <v>25</v>
      </c>
      <c r="M1012" s="3">
        <v>800</v>
      </c>
    </row>
    <row r="1013" spans="1:13" x14ac:dyDescent="0.25">
      <c r="A1013" s="3" t="s">
        <v>1371</v>
      </c>
      <c r="B1013" s="10" t="s">
        <v>1351</v>
      </c>
      <c r="C1013" s="3" t="str">
        <f>("757070")</f>
        <v>757070</v>
      </c>
      <c r="D1013" s="11" t="str">
        <f>("662671214164")</f>
        <v>662671214164</v>
      </c>
      <c r="E1013" s="3" t="s">
        <v>1123</v>
      </c>
      <c r="F1013" s="8" t="s">
        <v>1124</v>
      </c>
      <c r="G1013" s="14">
        <v>39.6</v>
      </c>
      <c r="H1013" s="35">
        <v>45689</v>
      </c>
      <c r="I1013" s="3">
        <v>2.2090000000000001</v>
      </c>
      <c r="J1013" s="3" t="s">
        <v>1110</v>
      </c>
      <c r="K1013" s="11" t="str">
        <f>("10662671214161")</f>
        <v>10662671214161</v>
      </c>
      <c r="L1013" s="3">
        <v>15</v>
      </c>
      <c r="M1013" s="3">
        <v>270</v>
      </c>
    </row>
    <row r="1014" spans="1:13" x14ac:dyDescent="0.25">
      <c r="A1014" s="3" t="s">
        <v>1371</v>
      </c>
      <c r="B1014" s="10" t="s">
        <v>1351</v>
      </c>
      <c r="C1014" s="3" t="str">
        <f>("757073")</f>
        <v>757073</v>
      </c>
      <c r="D1014" s="11" t="str">
        <f>("662671214263")</f>
        <v>662671214263</v>
      </c>
      <c r="E1014" s="3" t="s">
        <v>1125</v>
      </c>
      <c r="F1014" s="8" t="s">
        <v>1126</v>
      </c>
      <c r="G1014" s="14">
        <v>44.45</v>
      </c>
      <c r="H1014" s="35">
        <v>45689</v>
      </c>
      <c r="I1014" s="3">
        <v>2.2109999999999999</v>
      </c>
      <c r="J1014" s="3" t="s">
        <v>1110</v>
      </c>
      <c r="K1014" s="11" t="str">
        <f>("10662671214260")</f>
        <v>10662671214260</v>
      </c>
      <c r="L1014" s="3">
        <v>15</v>
      </c>
      <c r="M1014" s="3"/>
    </row>
    <row r="1015" spans="1:13" x14ac:dyDescent="0.25">
      <c r="A1015" s="3" t="s">
        <v>1371</v>
      </c>
      <c r="B1015" s="10" t="s">
        <v>1351</v>
      </c>
      <c r="C1015" s="3" t="str">
        <f>("757076")</f>
        <v>757076</v>
      </c>
      <c r="D1015" s="11" t="str">
        <f>("662671210029")</f>
        <v>662671210029</v>
      </c>
      <c r="E1015" s="3" t="s">
        <v>1127</v>
      </c>
      <c r="F1015" s="8" t="s">
        <v>1128</v>
      </c>
      <c r="G1015" s="14">
        <v>14.68</v>
      </c>
      <c r="H1015" s="35">
        <v>45689</v>
      </c>
      <c r="I1015" s="3">
        <v>0.50700000000000001</v>
      </c>
      <c r="J1015" s="3" t="s">
        <v>1110</v>
      </c>
      <c r="K1015" s="11" t="str">
        <f>("10662671210026")</f>
        <v>10662671210026</v>
      </c>
      <c r="L1015" s="3">
        <v>20</v>
      </c>
      <c r="M1015" s="3">
        <v>1440</v>
      </c>
    </row>
    <row r="1016" spans="1:13" x14ac:dyDescent="0.25">
      <c r="A1016" s="3" t="s">
        <v>1371</v>
      </c>
      <c r="B1016" s="10" t="s">
        <v>1351</v>
      </c>
      <c r="C1016" s="3" t="str">
        <f>("757091")</f>
        <v>757091</v>
      </c>
      <c r="D1016" s="11" t="str">
        <f>("662671214232")</f>
        <v>662671214232</v>
      </c>
      <c r="E1016" s="3" t="s">
        <v>1129</v>
      </c>
      <c r="F1016" s="8" t="s">
        <v>1130</v>
      </c>
      <c r="G1016" s="14">
        <v>46.03</v>
      </c>
      <c r="H1016" s="35">
        <v>45689</v>
      </c>
      <c r="I1016" s="3">
        <v>2.339</v>
      </c>
      <c r="J1016" s="3" t="s">
        <v>1110</v>
      </c>
      <c r="K1016" s="11" t="str">
        <f>("10662671214239")</f>
        <v>10662671214239</v>
      </c>
      <c r="L1016" s="3">
        <v>10</v>
      </c>
      <c r="M1016" s="3">
        <v>240</v>
      </c>
    </row>
    <row r="1017" spans="1:13" x14ac:dyDescent="0.25">
      <c r="A1017" s="3" t="s">
        <v>1371</v>
      </c>
      <c r="B1017" s="10" t="s">
        <v>1351</v>
      </c>
      <c r="C1017" s="3" t="str">
        <f>("757095")</f>
        <v>757095</v>
      </c>
      <c r="D1017" s="11" t="str">
        <f>("662671210098")</f>
        <v>662671210098</v>
      </c>
      <c r="E1017" s="3" t="s">
        <v>1131</v>
      </c>
      <c r="F1017" s="8" t="s">
        <v>1132</v>
      </c>
      <c r="G1017" s="14">
        <v>7.73</v>
      </c>
      <c r="H1017" s="35">
        <v>45689</v>
      </c>
      <c r="I1017" s="3">
        <v>0.36799999999999999</v>
      </c>
      <c r="J1017" s="3" t="s">
        <v>1110</v>
      </c>
      <c r="K1017" s="11" t="str">
        <f>("10662671210095")</f>
        <v>10662671210095</v>
      </c>
      <c r="L1017" s="3">
        <v>50</v>
      </c>
      <c r="M1017" s="3">
        <v>1600</v>
      </c>
    </row>
    <row r="1018" spans="1:13" x14ac:dyDescent="0.25">
      <c r="A1018" s="3" t="s">
        <v>1371</v>
      </c>
      <c r="B1018" s="10" t="s">
        <v>1351</v>
      </c>
      <c r="C1018" s="3" t="str">
        <f>("757100")</f>
        <v>757100</v>
      </c>
      <c r="D1018" s="11" t="str">
        <f>("662671210104")</f>
        <v>662671210104</v>
      </c>
      <c r="E1018" s="3" t="s">
        <v>1133</v>
      </c>
      <c r="F1018" s="8" t="s">
        <v>1134</v>
      </c>
      <c r="G1018" s="14">
        <v>7.73</v>
      </c>
      <c r="H1018" s="35">
        <v>45689</v>
      </c>
      <c r="I1018" s="3">
        <v>0.34399999999999997</v>
      </c>
      <c r="J1018" s="3" t="s">
        <v>1110</v>
      </c>
      <c r="K1018" s="11" t="str">
        <f>("10662671210101")</f>
        <v>10662671210101</v>
      </c>
      <c r="L1018" s="3">
        <v>50</v>
      </c>
      <c r="M1018" s="3">
        <v>1600</v>
      </c>
    </row>
    <row r="1019" spans="1:13" x14ac:dyDescent="0.25">
      <c r="A1019" s="3" t="s">
        <v>1371</v>
      </c>
      <c r="B1019" s="10" t="s">
        <v>1351</v>
      </c>
      <c r="C1019" s="3" t="str">
        <f>("757105")</f>
        <v>757105</v>
      </c>
      <c r="D1019" s="11" t="str">
        <f>("662671210166")</f>
        <v>662671210166</v>
      </c>
      <c r="E1019" s="3" t="s">
        <v>1135</v>
      </c>
      <c r="F1019" s="8" t="s">
        <v>1136</v>
      </c>
      <c r="G1019" s="14">
        <v>6.56</v>
      </c>
      <c r="H1019" s="35">
        <v>45689</v>
      </c>
      <c r="I1019" s="3">
        <v>0.20699999999999999</v>
      </c>
      <c r="J1019" s="3" t="s">
        <v>1110</v>
      </c>
      <c r="K1019" s="11" t="str">
        <f>("10662671210163")</f>
        <v>10662671210163</v>
      </c>
      <c r="L1019" s="3">
        <v>50</v>
      </c>
      <c r="M1019" s="3">
        <v>3600</v>
      </c>
    </row>
    <row r="1020" spans="1:13" x14ac:dyDescent="0.25">
      <c r="A1020" s="3" t="s">
        <v>1371</v>
      </c>
      <c r="B1020" s="10" t="s">
        <v>1351</v>
      </c>
      <c r="C1020" s="3" t="str">
        <f>("757110")</f>
        <v>757110</v>
      </c>
      <c r="D1020" s="11" t="str">
        <f>("662671210173")</f>
        <v>662671210173</v>
      </c>
      <c r="E1020" s="3" t="s">
        <v>1137</v>
      </c>
      <c r="F1020" s="8" t="s">
        <v>1138</v>
      </c>
      <c r="G1020" s="14">
        <v>6.56</v>
      </c>
      <c r="H1020" s="35">
        <v>45689</v>
      </c>
      <c r="I1020" s="3">
        <v>0.192</v>
      </c>
      <c r="J1020" s="3" t="s">
        <v>1110</v>
      </c>
      <c r="K1020" s="11" t="str">
        <f>("10662671210170")</f>
        <v>10662671210170</v>
      </c>
      <c r="L1020" s="3">
        <v>50</v>
      </c>
      <c r="M1020" s="3">
        <v>3600</v>
      </c>
    </row>
    <row r="1021" spans="1:13" x14ac:dyDescent="0.25">
      <c r="A1021" s="3" t="s">
        <v>1371</v>
      </c>
      <c r="B1021" s="10" t="s">
        <v>1351</v>
      </c>
      <c r="C1021" s="3" t="str">
        <f>("757115")</f>
        <v>757115</v>
      </c>
      <c r="D1021" s="11" t="str">
        <f>("662671210180")</f>
        <v>662671210180</v>
      </c>
      <c r="E1021" s="3" t="s">
        <v>1139</v>
      </c>
      <c r="F1021" s="8" t="s">
        <v>1140</v>
      </c>
      <c r="G1021" s="14">
        <v>6.56</v>
      </c>
      <c r="H1021" s="35">
        <v>45689</v>
      </c>
      <c r="I1021" s="3">
        <v>0.185</v>
      </c>
      <c r="J1021" s="3" t="s">
        <v>1110</v>
      </c>
      <c r="K1021" s="11" t="str">
        <f>("10662671210187")</f>
        <v>10662671210187</v>
      </c>
      <c r="L1021" s="3">
        <v>50</v>
      </c>
      <c r="M1021" s="3">
        <v>3600</v>
      </c>
    </row>
    <row r="1022" spans="1:13" x14ac:dyDescent="0.25">
      <c r="A1022" s="3" t="s">
        <v>1371</v>
      </c>
      <c r="B1022" s="10" t="s">
        <v>1351</v>
      </c>
      <c r="C1022" s="3" t="str">
        <f>("757120")</f>
        <v>757120</v>
      </c>
      <c r="D1022" s="11" t="str">
        <f>("662671210197")</f>
        <v>662671210197</v>
      </c>
      <c r="E1022" s="3" t="s">
        <v>1141</v>
      </c>
      <c r="F1022" s="8" t="s">
        <v>1142</v>
      </c>
      <c r="G1022" s="14">
        <v>4.92</v>
      </c>
      <c r="H1022" s="35">
        <v>45689</v>
      </c>
      <c r="I1022" s="3">
        <v>0.20300000000000001</v>
      </c>
      <c r="J1022" s="3" t="s">
        <v>1110</v>
      </c>
      <c r="K1022" s="11" t="str">
        <f>("10662671210194")</f>
        <v>10662671210194</v>
      </c>
      <c r="L1022" s="3">
        <v>40</v>
      </c>
      <c r="M1022" s="3">
        <v>2880</v>
      </c>
    </row>
    <row r="1023" spans="1:13" x14ac:dyDescent="0.25">
      <c r="A1023" s="3" t="s">
        <v>1371</v>
      </c>
      <c r="B1023" s="10" t="s">
        <v>1351</v>
      </c>
      <c r="C1023" s="3" t="str">
        <f>("757125")</f>
        <v>757125</v>
      </c>
      <c r="D1023" s="11" t="str">
        <f>("662671210203")</f>
        <v>662671210203</v>
      </c>
      <c r="E1023" s="3" t="s">
        <v>1143</v>
      </c>
      <c r="F1023" s="8" t="s">
        <v>1144</v>
      </c>
      <c r="G1023" s="14">
        <v>4.92</v>
      </c>
      <c r="H1023" s="35">
        <v>45689</v>
      </c>
      <c r="I1023" s="3">
        <v>0.218</v>
      </c>
      <c r="J1023" s="3" t="s">
        <v>1110</v>
      </c>
      <c r="K1023" s="11" t="str">
        <f>("10662671210200")</f>
        <v>10662671210200</v>
      </c>
      <c r="L1023" s="3">
        <v>40</v>
      </c>
      <c r="M1023" s="3">
        <v>2880</v>
      </c>
    </row>
    <row r="1024" spans="1:13" x14ac:dyDescent="0.25">
      <c r="A1024" s="3" t="s">
        <v>1371</v>
      </c>
      <c r="B1024" s="10" t="s">
        <v>1351</v>
      </c>
      <c r="C1024" s="3" t="str">
        <f>("757129")</f>
        <v>757129</v>
      </c>
      <c r="D1024" s="11" t="str">
        <f>("662671214157")</f>
        <v>662671214157</v>
      </c>
      <c r="E1024" s="3" t="s">
        <v>1145</v>
      </c>
      <c r="F1024" s="8" t="s">
        <v>1146</v>
      </c>
      <c r="G1024" s="14">
        <v>12.22</v>
      </c>
      <c r="H1024" s="35">
        <v>45689</v>
      </c>
      <c r="I1024" s="3">
        <v>0.22900000000000001</v>
      </c>
      <c r="J1024" s="3" t="s">
        <v>1110</v>
      </c>
      <c r="K1024" s="11" t="str">
        <f>("10662671214154")</f>
        <v>10662671214154</v>
      </c>
      <c r="L1024" s="3">
        <v>40</v>
      </c>
      <c r="M1024" s="3">
        <v>2880</v>
      </c>
    </row>
    <row r="1025" spans="1:13" x14ac:dyDescent="0.25">
      <c r="A1025" s="3" t="s">
        <v>1371</v>
      </c>
      <c r="B1025" s="10" t="s">
        <v>1351</v>
      </c>
      <c r="C1025" s="3" t="str">
        <f>("757146")</f>
        <v>757146</v>
      </c>
      <c r="D1025" s="11" t="str">
        <f>("662671214386")</f>
        <v>662671214386</v>
      </c>
      <c r="E1025" s="3" t="s">
        <v>1147</v>
      </c>
      <c r="F1025" s="8" t="s">
        <v>1148</v>
      </c>
      <c r="G1025" s="14">
        <v>6.6</v>
      </c>
      <c r="H1025" s="35">
        <v>45689</v>
      </c>
      <c r="I1025" s="3">
        <v>0.10100000000000001</v>
      </c>
      <c r="J1025" s="3" t="s">
        <v>1110</v>
      </c>
      <c r="K1025" s="11" t="str">
        <f>("10662671214383")</f>
        <v>10662671214383</v>
      </c>
      <c r="L1025" s="3">
        <v>60</v>
      </c>
      <c r="M1025" s="3">
        <v>8640</v>
      </c>
    </row>
    <row r="1026" spans="1:13" x14ac:dyDescent="0.25">
      <c r="A1026" s="3" t="s">
        <v>1371</v>
      </c>
      <c r="B1026" s="10" t="s">
        <v>1351</v>
      </c>
      <c r="C1026" s="3" t="str">
        <f>("757150")</f>
        <v>757150</v>
      </c>
      <c r="D1026" s="11" t="str">
        <f>("662671210050")</f>
        <v>662671210050</v>
      </c>
      <c r="E1026" s="3" t="s">
        <v>1149</v>
      </c>
      <c r="F1026" s="8" t="s">
        <v>1150</v>
      </c>
      <c r="G1026" s="14">
        <v>34.71</v>
      </c>
      <c r="H1026" s="35">
        <v>45689</v>
      </c>
      <c r="I1026" s="3">
        <v>0.55100000000000005</v>
      </c>
      <c r="J1026" s="3" t="s">
        <v>1110</v>
      </c>
      <c r="K1026" s="11" t="str">
        <f>("10662671210057")</f>
        <v>10662671210057</v>
      </c>
      <c r="L1026" s="3">
        <v>25</v>
      </c>
      <c r="M1026" s="3">
        <v>1200</v>
      </c>
    </row>
    <row r="1027" spans="1:13" x14ac:dyDescent="0.25">
      <c r="A1027" s="3" t="s">
        <v>1371</v>
      </c>
      <c r="B1027" s="10" t="s">
        <v>1351</v>
      </c>
      <c r="C1027" s="3" t="str">
        <f>("757171")</f>
        <v>757171</v>
      </c>
      <c r="D1027" s="11" t="str">
        <f>("662671214362")</f>
        <v>662671214362</v>
      </c>
      <c r="E1027" s="3" t="s">
        <v>1151</v>
      </c>
      <c r="F1027" s="8" t="s">
        <v>1152</v>
      </c>
      <c r="G1027" s="14">
        <v>13.12</v>
      </c>
      <c r="H1027" s="35">
        <v>45689</v>
      </c>
      <c r="I1027" s="3">
        <v>0.72099999999999997</v>
      </c>
      <c r="J1027" s="3" t="s">
        <v>1110</v>
      </c>
      <c r="K1027" s="11" t="str">
        <f>("10662671214369")</f>
        <v>10662671214369</v>
      </c>
      <c r="L1027" s="3">
        <v>25</v>
      </c>
      <c r="M1027" s="3">
        <v>800</v>
      </c>
    </row>
    <row r="1028" spans="1:13" x14ac:dyDescent="0.25">
      <c r="A1028" s="3" t="s">
        <v>1371</v>
      </c>
      <c r="B1028" s="10" t="s">
        <v>1351</v>
      </c>
      <c r="C1028" s="3" t="str">
        <f>("757172")</f>
        <v>757172</v>
      </c>
      <c r="D1028" s="11" t="str">
        <f>("662671012005")</f>
        <v>662671012005</v>
      </c>
      <c r="E1028" s="3" t="s">
        <v>1153</v>
      </c>
      <c r="F1028" s="8" t="s">
        <v>1154</v>
      </c>
      <c r="G1028" s="14">
        <v>14.8</v>
      </c>
      <c r="H1028" s="35">
        <v>45689</v>
      </c>
      <c r="I1028" s="3">
        <v>0.73199999999999998</v>
      </c>
      <c r="J1028" s="3" t="s">
        <v>1110</v>
      </c>
      <c r="K1028" s="11" t="str">
        <f>("10662671012002")</f>
        <v>10662671012002</v>
      </c>
      <c r="L1028" s="3">
        <v>25</v>
      </c>
      <c r="M1028" s="3">
        <v>800</v>
      </c>
    </row>
    <row r="1029" spans="1:13" x14ac:dyDescent="0.25">
      <c r="A1029" s="3" t="s">
        <v>1371</v>
      </c>
      <c r="B1029" s="10" t="s">
        <v>1351</v>
      </c>
      <c r="C1029" s="3" t="str">
        <f>("757176")</f>
        <v>757176</v>
      </c>
      <c r="D1029" s="11" t="str">
        <f>("662671210494")</f>
        <v>662671210494</v>
      </c>
      <c r="E1029" s="3" t="s">
        <v>1155</v>
      </c>
      <c r="F1029" s="8" t="s">
        <v>1156</v>
      </c>
      <c r="G1029" s="14">
        <v>25.67</v>
      </c>
      <c r="H1029" s="35">
        <v>45689</v>
      </c>
      <c r="I1029" s="3">
        <v>1.0429999999999999</v>
      </c>
      <c r="J1029" s="3" t="s">
        <v>1110</v>
      </c>
      <c r="K1029" s="11" t="str">
        <f>("10662671210491")</f>
        <v>10662671210491</v>
      </c>
      <c r="L1029" s="3">
        <v>20</v>
      </c>
      <c r="M1029" s="3">
        <v>640</v>
      </c>
    </row>
    <row r="1030" spans="1:13" x14ac:dyDescent="0.25">
      <c r="A1030" s="3" t="s">
        <v>1371</v>
      </c>
      <c r="B1030" s="10" t="s">
        <v>1351</v>
      </c>
      <c r="C1030" s="3" t="str">
        <f>("757181")</f>
        <v>757181</v>
      </c>
      <c r="D1030" s="11" t="str">
        <f>("662671210500")</f>
        <v>662671210500</v>
      </c>
      <c r="E1030" s="3" t="s">
        <v>1157</v>
      </c>
      <c r="F1030" s="8" t="s">
        <v>1158</v>
      </c>
      <c r="G1030" s="14">
        <v>25.67</v>
      </c>
      <c r="H1030" s="35">
        <v>45689</v>
      </c>
      <c r="I1030" s="3">
        <v>0.93899999999999995</v>
      </c>
      <c r="J1030" s="3" t="s">
        <v>1110</v>
      </c>
      <c r="K1030" s="11" t="str">
        <f>("10662671210507")</f>
        <v>10662671210507</v>
      </c>
      <c r="L1030" s="3">
        <v>20</v>
      </c>
      <c r="M1030" s="3">
        <v>640</v>
      </c>
    </row>
    <row r="1031" spans="1:13" x14ac:dyDescent="0.25">
      <c r="A1031" s="3" t="s">
        <v>1371</v>
      </c>
      <c r="B1031" s="10" t="s">
        <v>1351</v>
      </c>
      <c r="C1031" s="3" t="str">
        <f>("757188")</f>
        <v>757188</v>
      </c>
      <c r="D1031" s="11" t="str">
        <f>("662671210999")</f>
        <v>662671210999</v>
      </c>
      <c r="E1031" s="3" t="s">
        <v>1159</v>
      </c>
      <c r="F1031" s="8" t="s">
        <v>1160</v>
      </c>
      <c r="G1031" s="14">
        <v>25.67</v>
      </c>
      <c r="H1031" s="35">
        <v>45689</v>
      </c>
      <c r="I1031" s="3">
        <v>0.98099999999999998</v>
      </c>
      <c r="J1031" s="3" t="s">
        <v>1110</v>
      </c>
      <c r="K1031" s="11" t="str">
        <f>("10662671210996")</f>
        <v>10662671210996</v>
      </c>
      <c r="L1031" s="3">
        <v>20</v>
      </c>
      <c r="M1031" s="3">
        <v>640</v>
      </c>
    </row>
    <row r="1032" spans="1:13" x14ac:dyDescent="0.25">
      <c r="A1032" s="3" t="s">
        <v>1371</v>
      </c>
      <c r="B1032" s="10" t="s">
        <v>1351</v>
      </c>
      <c r="C1032" s="3" t="str">
        <f>("757193")</f>
        <v>757193</v>
      </c>
      <c r="D1032" s="11" t="str">
        <f>("662671214126")</f>
        <v>662671214126</v>
      </c>
      <c r="E1032" s="3" t="s">
        <v>1161</v>
      </c>
      <c r="F1032" s="8" t="s">
        <v>1162</v>
      </c>
      <c r="G1032" s="14">
        <v>12.1</v>
      </c>
      <c r="H1032" s="35">
        <v>45689</v>
      </c>
      <c r="I1032" s="3">
        <v>0.747</v>
      </c>
      <c r="J1032" s="3" t="s">
        <v>1110</v>
      </c>
      <c r="K1032" s="11" t="str">
        <f>("10662671214123")</f>
        <v>10662671214123</v>
      </c>
      <c r="L1032" s="3">
        <v>25</v>
      </c>
      <c r="M1032" s="3">
        <v>800</v>
      </c>
    </row>
    <row r="1033" spans="1:13" x14ac:dyDescent="0.25">
      <c r="A1033" s="3" t="s">
        <v>1371</v>
      </c>
      <c r="B1033" s="10" t="s">
        <v>1351</v>
      </c>
      <c r="C1033" s="3" t="str">
        <f>("757197")</f>
        <v>757197</v>
      </c>
      <c r="D1033" s="11" t="str">
        <f>("662671214140")</f>
        <v>662671214140</v>
      </c>
      <c r="E1033" s="3" t="s">
        <v>1163</v>
      </c>
      <c r="F1033" s="8" t="s">
        <v>1164</v>
      </c>
      <c r="G1033" s="14">
        <v>10.87</v>
      </c>
      <c r="H1033" s="35">
        <v>45689</v>
      </c>
      <c r="I1033" s="3">
        <v>0.72799999999999998</v>
      </c>
      <c r="J1033" s="3" t="s">
        <v>1110</v>
      </c>
      <c r="K1033" s="11" t="str">
        <f>("10662671214147")</f>
        <v>10662671214147</v>
      </c>
      <c r="L1033" s="3">
        <v>25</v>
      </c>
      <c r="M1033" s="3">
        <v>800</v>
      </c>
    </row>
    <row r="1034" spans="1:13" x14ac:dyDescent="0.25">
      <c r="A1034" s="3" t="s">
        <v>1371</v>
      </c>
      <c r="B1034" s="10" t="s">
        <v>1351</v>
      </c>
      <c r="C1034" s="3" t="str">
        <f>("757216")</f>
        <v>757216</v>
      </c>
      <c r="D1034" s="11" t="str">
        <f>("662671214171")</f>
        <v>662671214171</v>
      </c>
      <c r="E1034" s="3" t="s">
        <v>1165</v>
      </c>
      <c r="F1034" s="8" t="s">
        <v>1166</v>
      </c>
      <c r="G1034" s="14">
        <v>36.630000000000003</v>
      </c>
      <c r="H1034" s="35">
        <v>45689</v>
      </c>
      <c r="I1034" s="3">
        <v>1.113</v>
      </c>
      <c r="J1034" s="3" t="s">
        <v>1110</v>
      </c>
      <c r="K1034" s="11" t="str">
        <f>("10662671214178")</f>
        <v>10662671214178</v>
      </c>
      <c r="L1034" s="3">
        <v>25</v>
      </c>
      <c r="M1034" s="3">
        <v>600</v>
      </c>
    </row>
    <row r="1035" spans="1:13" x14ac:dyDescent="0.25">
      <c r="A1035" s="3" t="s">
        <v>1371</v>
      </c>
      <c r="B1035" s="10" t="s">
        <v>1351</v>
      </c>
      <c r="C1035" s="3" t="str">
        <f>("757240")</f>
        <v>757240</v>
      </c>
      <c r="D1035" s="11" t="str">
        <f>("662671212900")</f>
        <v>662671212900</v>
      </c>
      <c r="E1035" s="3" t="s">
        <v>1167</v>
      </c>
      <c r="F1035" s="8" t="s">
        <v>1168</v>
      </c>
      <c r="G1035" s="14">
        <v>38.32</v>
      </c>
      <c r="H1035" s="35">
        <v>45689</v>
      </c>
      <c r="I1035" s="3">
        <v>0.41199999999999998</v>
      </c>
      <c r="J1035" s="3" t="s">
        <v>1110</v>
      </c>
      <c r="K1035" s="11" t="str">
        <f>("10662671212907")</f>
        <v>10662671212907</v>
      </c>
      <c r="L1035" s="3">
        <v>20</v>
      </c>
      <c r="M1035" s="3">
        <v>1440</v>
      </c>
    </row>
    <row r="1036" spans="1:13" x14ac:dyDescent="0.25">
      <c r="A1036" s="3" t="s">
        <v>1371</v>
      </c>
      <c r="B1036" s="10" t="s">
        <v>1351</v>
      </c>
      <c r="C1036" s="3" t="str">
        <f>("757255")</f>
        <v>757255</v>
      </c>
      <c r="D1036" s="11" t="str">
        <f>("662671213815")</f>
        <v>662671213815</v>
      </c>
      <c r="E1036" s="3" t="s">
        <v>1169</v>
      </c>
      <c r="F1036" s="8" t="s">
        <v>1170</v>
      </c>
      <c r="G1036" s="14">
        <v>38.32</v>
      </c>
      <c r="H1036" s="35">
        <v>45689</v>
      </c>
      <c r="I1036" s="3">
        <v>0.35499999999999998</v>
      </c>
      <c r="J1036" s="3" t="s">
        <v>1110</v>
      </c>
      <c r="K1036" s="11" t="str">
        <f>("10662671213812")</f>
        <v>10662671213812</v>
      </c>
      <c r="L1036" s="3">
        <v>20</v>
      </c>
      <c r="M1036" s="3">
        <v>1440</v>
      </c>
    </row>
    <row r="1037" spans="1:13" x14ac:dyDescent="0.25">
      <c r="A1037" s="3" t="s">
        <v>1371</v>
      </c>
      <c r="B1037" s="10" t="s">
        <v>1351</v>
      </c>
      <c r="C1037" s="3" t="str">
        <f>("757274")</f>
        <v>757274</v>
      </c>
      <c r="D1037" s="11" t="str">
        <f>("662671214249")</f>
        <v>662671214249</v>
      </c>
      <c r="E1037" s="3" t="s">
        <v>1171</v>
      </c>
      <c r="F1037" s="8" t="s">
        <v>1172</v>
      </c>
      <c r="G1037" s="14">
        <v>11.6</v>
      </c>
      <c r="H1037" s="35">
        <v>45689</v>
      </c>
      <c r="I1037" s="3">
        <v>0.32400000000000001</v>
      </c>
      <c r="J1037" s="3" t="s">
        <v>1110</v>
      </c>
      <c r="K1037" s="11" t="str">
        <f>("10662671214246")</f>
        <v>10662671214246</v>
      </c>
      <c r="L1037" s="3">
        <v>50</v>
      </c>
      <c r="M1037" s="3">
        <v>3600</v>
      </c>
    </row>
    <row r="1038" spans="1:13" x14ac:dyDescent="0.25">
      <c r="A1038" s="3" t="s">
        <v>1371</v>
      </c>
      <c r="B1038" s="10" t="s">
        <v>1351</v>
      </c>
      <c r="C1038" s="3" t="str">
        <f>("757276")</f>
        <v>757276</v>
      </c>
      <c r="D1038" s="11" t="str">
        <f>("662671214256")</f>
        <v>662671214256</v>
      </c>
      <c r="E1038" s="3" t="s">
        <v>1173</v>
      </c>
      <c r="F1038" s="8" t="s">
        <v>1174</v>
      </c>
      <c r="G1038" s="14">
        <v>12.08</v>
      </c>
      <c r="H1038" s="35">
        <v>45689</v>
      </c>
      <c r="I1038" s="3">
        <v>0.52900000000000003</v>
      </c>
      <c r="J1038" s="3" t="s">
        <v>1110</v>
      </c>
      <c r="K1038" s="11" t="str">
        <f>("10662671214253")</f>
        <v>10662671214253</v>
      </c>
      <c r="L1038" s="3">
        <v>25</v>
      </c>
      <c r="M1038" s="3">
        <v>1800</v>
      </c>
    </row>
    <row r="1039" spans="1:13" x14ac:dyDescent="0.25">
      <c r="A1039" s="3" t="s">
        <v>1371</v>
      </c>
      <c r="B1039" s="10" t="s">
        <v>1351</v>
      </c>
      <c r="C1039" s="3" t="str">
        <f>("757280")</f>
        <v>757280</v>
      </c>
      <c r="D1039" s="11" t="str">
        <f>("662671210685")</f>
        <v>662671210685</v>
      </c>
      <c r="E1039" s="3" t="s">
        <v>1175</v>
      </c>
      <c r="F1039" s="8" t="s">
        <v>1176</v>
      </c>
      <c r="G1039" s="14">
        <v>6.1</v>
      </c>
      <c r="H1039" s="35">
        <v>45689</v>
      </c>
      <c r="I1039" s="3">
        <v>0.30399999999999999</v>
      </c>
      <c r="J1039" s="3" t="s">
        <v>1110</v>
      </c>
      <c r="K1039" s="11" t="str">
        <f>("10662671210682")</f>
        <v>10662671210682</v>
      </c>
      <c r="L1039" s="3">
        <v>25</v>
      </c>
      <c r="M1039" s="3">
        <v>3600</v>
      </c>
    </row>
    <row r="1040" spans="1:13" x14ac:dyDescent="0.25">
      <c r="A1040" s="3" t="s">
        <v>1371</v>
      </c>
      <c r="B1040" s="10" t="s">
        <v>1351</v>
      </c>
      <c r="C1040" s="3" t="str">
        <f>("757288")</f>
        <v>757288</v>
      </c>
      <c r="D1040" s="11" t="str">
        <f>("662671190574")</f>
        <v>662671190574</v>
      </c>
      <c r="E1040" s="3" t="s">
        <v>1177</v>
      </c>
      <c r="F1040" s="8" t="s">
        <v>1178</v>
      </c>
      <c r="G1040" s="14">
        <v>31.28</v>
      </c>
      <c r="H1040" s="35">
        <v>45689</v>
      </c>
      <c r="I1040" s="3">
        <v>0.65900000000000003</v>
      </c>
      <c r="J1040" s="3" t="s">
        <v>1110</v>
      </c>
      <c r="K1040" s="11" t="str">
        <f>("30662671190575")</f>
        <v>30662671190575</v>
      </c>
      <c r="L1040" s="3">
        <v>12</v>
      </c>
      <c r="M1040" s="3">
        <v>1728</v>
      </c>
    </row>
    <row r="1041" spans="1:13" x14ac:dyDescent="0.25">
      <c r="A1041" s="3" t="s">
        <v>1371</v>
      </c>
      <c r="B1041" s="10" t="s">
        <v>1351</v>
      </c>
      <c r="C1041" s="3" t="str">
        <f>("757289")</f>
        <v>757289</v>
      </c>
      <c r="D1041" s="11" t="str">
        <f>("662671190598")</f>
        <v>662671190598</v>
      </c>
      <c r="E1041" s="3" t="s">
        <v>1179</v>
      </c>
      <c r="F1041" s="8" t="s">
        <v>1180</v>
      </c>
      <c r="G1041" s="14">
        <v>122.55</v>
      </c>
      <c r="H1041" s="35">
        <v>45689</v>
      </c>
      <c r="I1041" s="3">
        <v>0.80700000000000005</v>
      </c>
      <c r="J1041" s="3" t="s">
        <v>1110</v>
      </c>
      <c r="K1041" s="11" t="str">
        <f>("30662671190599")</f>
        <v>30662671190599</v>
      </c>
      <c r="L1041" s="3">
        <v>15</v>
      </c>
      <c r="M1041" s="3">
        <v>1080</v>
      </c>
    </row>
    <row r="1042" spans="1:13" x14ac:dyDescent="0.25">
      <c r="A1042" s="3" t="s">
        <v>1371</v>
      </c>
      <c r="B1042" s="10" t="s">
        <v>1351</v>
      </c>
      <c r="C1042" s="3" t="str">
        <f>("757290")</f>
        <v>757290</v>
      </c>
      <c r="D1042" s="11" t="str">
        <f>("662671190611")</f>
        <v>662671190611</v>
      </c>
      <c r="E1042" s="3" t="s">
        <v>1181</v>
      </c>
      <c r="F1042" s="8" t="s">
        <v>1182</v>
      </c>
      <c r="G1042" s="14">
        <v>151.02000000000001</v>
      </c>
      <c r="H1042" s="35">
        <v>45689</v>
      </c>
      <c r="I1042" s="3">
        <v>1.883</v>
      </c>
      <c r="J1042" s="3" t="s">
        <v>1110</v>
      </c>
      <c r="K1042" s="11" t="str">
        <f>("30662671190612")</f>
        <v>30662671190612</v>
      </c>
      <c r="L1042" s="3">
        <v>15</v>
      </c>
      <c r="M1042" s="3">
        <v>480</v>
      </c>
    </row>
    <row r="1043" spans="1:13" x14ac:dyDescent="0.25">
      <c r="A1043" s="3" t="s">
        <v>1371</v>
      </c>
      <c r="B1043" s="10" t="s">
        <v>1351</v>
      </c>
      <c r="C1043" s="3" t="str">
        <f>("757291")</f>
        <v>757291</v>
      </c>
      <c r="D1043" s="11" t="str">
        <f>("662671190635")</f>
        <v>662671190635</v>
      </c>
      <c r="E1043" s="3" t="s">
        <v>1183</v>
      </c>
      <c r="F1043" s="8" t="s">
        <v>1184</v>
      </c>
      <c r="G1043" s="14">
        <v>329.43</v>
      </c>
      <c r="H1043" s="35">
        <v>45689</v>
      </c>
      <c r="I1043" s="3">
        <v>4.9210000000000003</v>
      </c>
      <c r="J1043" s="3" t="s">
        <v>1110</v>
      </c>
      <c r="K1043" s="11" t="str">
        <f>("30662671190636")</f>
        <v>30662671190636</v>
      </c>
      <c r="L1043" s="3">
        <v>4</v>
      </c>
      <c r="M1043" s="3">
        <v>128</v>
      </c>
    </row>
    <row r="1044" spans="1:13" x14ac:dyDescent="0.25">
      <c r="A1044" s="3" t="s">
        <v>1371</v>
      </c>
      <c r="B1044" s="10" t="s">
        <v>1351</v>
      </c>
      <c r="C1044" s="3" t="str">
        <f>("757740")</f>
        <v>757740</v>
      </c>
      <c r="D1044" s="11" t="str">
        <f>("662671066510")</f>
        <v>662671066510</v>
      </c>
      <c r="E1044" s="3" t="s">
        <v>1185</v>
      </c>
      <c r="F1044" s="8" t="s">
        <v>1186</v>
      </c>
      <c r="G1044" s="14">
        <v>211.74</v>
      </c>
      <c r="H1044" s="35">
        <v>45689</v>
      </c>
      <c r="I1044" s="3">
        <v>2.2000000000000002</v>
      </c>
      <c r="J1044" s="3" t="s">
        <v>1187</v>
      </c>
      <c r="K1044" s="11" t="str">
        <f>("10662671066517")</f>
        <v>10662671066517</v>
      </c>
      <c r="L1044" s="3">
        <v>1</v>
      </c>
      <c r="M1044" s="3"/>
    </row>
    <row r="1045" spans="1:13" x14ac:dyDescent="0.25">
      <c r="A1045" s="3" t="s">
        <v>1371</v>
      </c>
      <c r="B1045" s="10" t="s">
        <v>1351</v>
      </c>
      <c r="C1045" s="3" t="str">
        <f>("757295")</f>
        <v>757295</v>
      </c>
      <c r="D1045" s="11" t="str">
        <f>("662671063229")</f>
        <v>662671063229</v>
      </c>
      <c r="E1045" s="3" t="s">
        <v>1188</v>
      </c>
      <c r="F1045" s="8" t="s">
        <v>1189</v>
      </c>
      <c r="G1045" s="14">
        <v>714.88</v>
      </c>
      <c r="H1045" s="35">
        <v>45689</v>
      </c>
      <c r="I1045" s="3">
        <v>8.77</v>
      </c>
      <c r="J1045" s="3" t="s">
        <v>1187</v>
      </c>
      <c r="K1045" s="11" t="str">
        <f>("20662671063223")</f>
        <v>20662671063223</v>
      </c>
      <c r="L1045" s="3">
        <v>1</v>
      </c>
      <c r="M1045" s="3"/>
    </row>
    <row r="1046" spans="1:13" x14ac:dyDescent="0.25">
      <c r="A1046" s="3" t="s">
        <v>1371</v>
      </c>
      <c r="B1046" s="10" t="s">
        <v>1351</v>
      </c>
      <c r="C1046" s="3" t="str">
        <f>("757296")</f>
        <v>757296</v>
      </c>
      <c r="D1046" s="11" t="str">
        <f>("662671063236")</f>
        <v>662671063236</v>
      </c>
      <c r="E1046" s="3" t="s">
        <v>1190</v>
      </c>
      <c r="F1046" s="8" t="s">
        <v>1191</v>
      </c>
      <c r="G1046" s="14">
        <v>267.5</v>
      </c>
      <c r="H1046" s="35">
        <v>45689</v>
      </c>
      <c r="I1046" s="3">
        <v>4.2990000000000004</v>
      </c>
      <c r="J1046" s="3" t="s">
        <v>1187</v>
      </c>
      <c r="K1046" s="11" t="str">
        <f>("20662671063230")</f>
        <v>20662671063230</v>
      </c>
      <c r="L1046" s="3">
        <v>1</v>
      </c>
      <c r="M1046" s="3"/>
    </row>
    <row r="1047" spans="1:13" x14ac:dyDescent="0.25">
      <c r="A1047" s="3" t="s">
        <v>1371</v>
      </c>
      <c r="B1047" s="10" t="s">
        <v>1351</v>
      </c>
      <c r="C1047" s="3" t="str">
        <f>("757526")</f>
        <v>757526</v>
      </c>
      <c r="D1047" s="11" t="str">
        <f>("662671220646")</f>
        <v>662671220646</v>
      </c>
      <c r="E1047" s="3" t="s">
        <v>1192</v>
      </c>
      <c r="F1047" s="8" t="s">
        <v>1193</v>
      </c>
      <c r="G1047" s="14">
        <v>371.74</v>
      </c>
      <c r="H1047" s="35">
        <v>45689</v>
      </c>
      <c r="I1047" s="3">
        <v>7.0110000000000001</v>
      </c>
      <c r="J1047" s="3" t="s">
        <v>1187</v>
      </c>
      <c r="K1047" s="11" t="str">
        <f>("10662671220643")</f>
        <v>10662671220643</v>
      </c>
      <c r="L1047" s="3">
        <v>4</v>
      </c>
      <c r="M1047" s="3"/>
    </row>
    <row r="1048" spans="1:13" x14ac:dyDescent="0.25">
      <c r="A1048" s="3" t="s">
        <v>1371</v>
      </c>
      <c r="B1048" s="10" t="s">
        <v>1351</v>
      </c>
      <c r="C1048" s="3" t="str">
        <f>("757541")</f>
        <v>757541</v>
      </c>
      <c r="D1048" s="11" t="str">
        <f>("662671220233")</f>
        <v>662671220233</v>
      </c>
      <c r="E1048" s="3" t="s">
        <v>1194</v>
      </c>
      <c r="F1048" s="8" t="s">
        <v>1195</v>
      </c>
      <c r="G1048" s="14">
        <v>71.52</v>
      </c>
      <c r="H1048" s="35">
        <v>45689</v>
      </c>
      <c r="I1048" s="3">
        <v>2.0409999999999999</v>
      </c>
      <c r="J1048" s="3" t="s">
        <v>1187</v>
      </c>
      <c r="K1048" s="11" t="str">
        <f>("10662671220230")</f>
        <v>10662671220230</v>
      </c>
      <c r="L1048" s="3">
        <v>1</v>
      </c>
      <c r="M1048" s="3">
        <v>128</v>
      </c>
    </row>
    <row r="1049" spans="1:13" x14ac:dyDescent="0.25">
      <c r="A1049" s="3" t="s">
        <v>1371</v>
      </c>
      <c r="B1049" s="10" t="s">
        <v>1351</v>
      </c>
      <c r="C1049" s="3" t="str">
        <f>("757558")</f>
        <v>757558</v>
      </c>
      <c r="D1049" s="11" t="str">
        <f>("662671220271")</f>
        <v>662671220271</v>
      </c>
      <c r="E1049" s="3" t="s">
        <v>1196</v>
      </c>
      <c r="F1049" s="8" t="s">
        <v>1197</v>
      </c>
      <c r="G1049" s="14">
        <v>13.62</v>
      </c>
      <c r="H1049" s="35">
        <v>45689</v>
      </c>
      <c r="I1049" s="3">
        <v>0.06</v>
      </c>
      <c r="J1049" s="3" t="s">
        <v>1187</v>
      </c>
      <c r="K1049" s="11" t="str">
        <f>("10662671220278")</f>
        <v>10662671220278</v>
      </c>
      <c r="L1049" s="3">
        <v>500</v>
      </c>
      <c r="M1049" s="3"/>
    </row>
    <row r="1050" spans="1:13" x14ac:dyDescent="0.25">
      <c r="A1050" s="3" t="s">
        <v>1371</v>
      </c>
      <c r="B1050" s="10" t="s">
        <v>1351</v>
      </c>
      <c r="C1050" s="3" t="str">
        <f>("757564")</f>
        <v>757564</v>
      </c>
      <c r="D1050" s="11" t="str">
        <f>("662671220387")</f>
        <v>662671220387</v>
      </c>
      <c r="E1050" s="3" t="s">
        <v>1198</v>
      </c>
      <c r="F1050" s="8" t="s">
        <v>1199</v>
      </c>
      <c r="G1050" s="14">
        <v>11.45</v>
      </c>
      <c r="H1050" s="35">
        <v>45689</v>
      </c>
      <c r="I1050" s="3">
        <v>0.26500000000000001</v>
      </c>
      <c r="J1050" s="3" t="s">
        <v>1187</v>
      </c>
      <c r="K1050" s="11" t="str">
        <f>("10662671220384")</f>
        <v>10662671220384</v>
      </c>
      <c r="L1050" s="3">
        <v>125</v>
      </c>
      <c r="M1050" s="3"/>
    </row>
    <row r="1051" spans="1:13" x14ac:dyDescent="0.25">
      <c r="A1051" s="3" t="s">
        <v>1371</v>
      </c>
      <c r="B1051" s="10" t="s">
        <v>1351</v>
      </c>
      <c r="C1051" s="3" t="str">
        <f>("757569")</f>
        <v>757569</v>
      </c>
      <c r="D1051" s="11" t="str">
        <f>("662671220011")</f>
        <v>662671220011</v>
      </c>
      <c r="E1051" s="3" t="s">
        <v>1200</v>
      </c>
      <c r="F1051" s="8" t="s">
        <v>1201</v>
      </c>
      <c r="G1051" s="14">
        <v>56.48</v>
      </c>
      <c r="H1051" s="35">
        <v>45689</v>
      </c>
      <c r="I1051" s="3">
        <v>0.71</v>
      </c>
      <c r="J1051" s="3" t="s">
        <v>1187</v>
      </c>
      <c r="K1051" s="11" t="str">
        <f>("10662671220018")</f>
        <v>10662671220018</v>
      </c>
      <c r="L1051" s="3">
        <v>15</v>
      </c>
      <c r="M1051" s="3">
        <v>1080</v>
      </c>
    </row>
    <row r="1052" spans="1:13" x14ac:dyDescent="0.25">
      <c r="A1052" s="3" t="s">
        <v>1371</v>
      </c>
      <c r="B1052" s="10" t="s">
        <v>1351</v>
      </c>
      <c r="C1052" s="3" t="str">
        <f>("757583")</f>
        <v>757583</v>
      </c>
      <c r="D1052" s="11" t="str">
        <f>("662671220028")</f>
        <v>662671220028</v>
      </c>
      <c r="E1052" s="3" t="s">
        <v>1202</v>
      </c>
      <c r="F1052" s="8" t="s">
        <v>1203</v>
      </c>
      <c r="G1052" s="14">
        <v>56.48</v>
      </c>
      <c r="H1052" s="35">
        <v>45689</v>
      </c>
      <c r="I1052" s="3">
        <v>0.71699999999999997</v>
      </c>
      <c r="J1052" s="3" t="s">
        <v>1187</v>
      </c>
      <c r="K1052" s="11" t="str">
        <f>("10662671220025")</f>
        <v>10662671220025</v>
      </c>
      <c r="L1052" s="3">
        <v>15</v>
      </c>
      <c r="M1052" s="3">
        <v>1080</v>
      </c>
    </row>
    <row r="1053" spans="1:13" x14ac:dyDescent="0.25">
      <c r="A1053" s="3" t="s">
        <v>1371</v>
      </c>
      <c r="B1053" s="10" t="s">
        <v>1351</v>
      </c>
      <c r="C1053" s="3" t="str">
        <f>("757599")</f>
        <v>757599</v>
      </c>
      <c r="D1053" s="11" t="str">
        <f>("662671220394")</f>
        <v>662671220394</v>
      </c>
      <c r="E1053" s="3" t="s">
        <v>1204</v>
      </c>
      <c r="F1053" s="8" t="s">
        <v>1205</v>
      </c>
      <c r="G1053" s="14">
        <v>15.35</v>
      </c>
      <c r="H1053" s="35">
        <v>45689</v>
      </c>
      <c r="I1053" s="3">
        <v>0.441</v>
      </c>
      <c r="J1053" s="3" t="s">
        <v>1187</v>
      </c>
      <c r="K1053" s="11" t="str">
        <f>("10662671220391")</f>
        <v>10662671220391</v>
      </c>
      <c r="L1053" s="3">
        <v>50</v>
      </c>
      <c r="M1053" s="3"/>
    </row>
    <row r="1054" spans="1:13" x14ac:dyDescent="0.25">
      <c r="A1054" s="3" t="s">
        <v>1371</v>
      </c>
      <c r="B1054" s="10" t="s">
        <v>1351</v>
      </c>
      <c r="C1054" s="3" t="str">
        <f>("757605")</f>
        <v>757605</v>
      </c>
      <c r="D1054" s="11" t="str">
        <f>("662671220035")</f>
        <v>662671220035</v>
      </c>
      <c r="E1054" s="3" t="s">
        <v>1206</v>
      </c>
      <c r="F1054" s="8" t="s">
        <v>1207</v>
      </c>
      <c r="G1054" s="14">
        <v>66.81</v>
      </c>
      <c r="H1054" s="35">
        <v>45689</v>
      </c>
      <c r="I1054" s="3">
        <v>1.8280000000000001</v>
      </c>
      <c r="J1054" s="3" t="s">
        <v>1187</v>
      </c>
      <c r="K1054" s="11" t="str">
        <f>("10662671220032")</f>
        <v>10662671220032</v>
      </c>
      <c r="L1054" s="3">
        <v>10</v>
      </c>
      <c r="M1054" s="3">
        <v>320</v>
      </c>
    </row>
    <row r="1055" spans="1:13" x14ac:dyDescent="0.25">
      <c r="A1055" s="3" t="s">
        <v>1371</v>
      </c>
      <c r="B1055" s="10" t="s">
        <v>1351</v>
      </c>
      <c r="C1055" s="3" t="str">
        <f>("757623")</f>
        <v>757623</v>
      </c>
      <c r="D1055" s="11" t="str">
        <f>("662671220400")</f>
        <v>662671220400</v>
      </c>
      <c r="E1055" s="3" t="s">
        <v>1208</v>
      </c>
      <c r="F1055" s="8" t="s">
        <v>1209</v>
      </c>
      <c r="G1055" s="14">
        <v>26.04</v>
      </c>
      <c r="H1055" s="35">
        <v>45689</v>
      </c>
      <c r="I1055" s="3">
        <v>0.76700000000000002</v>
      </c>
      <c r="J1055" s="3" t="s">
        <v>1187</v>
      </c>
      <c r="K1055" s="11" t="str">
        <f>("10662671220407")</f>
        <v>10662671220407</v>
      </c>
      <c r="L1055" s="3">
        <v>35</v>
      </c>
      <c r="M1055" s="3"/>
    </row>
    <row r="1056" spans="1:13" x14ac:dyDescent="0.25">
      <c r="A1056" s="3" t="s">
        <v>1371</v>
      </c>
      <c r="B1056" s="10" t="s">
        <v>1351</v>
      </c>
      <c r="C1056" s="3" t="str">
        <f>("757629")</f>
        <v>757629</v>
      </c>
      <c r="D1056" s="11" t="str">
        <f>("662671220059")</f>
        <v>662671220059</v>
      </c>
      <c r="E1056" s="3" t="s">
        <v>1210</v>
      </c>
      <c r="F1056" s="8" t="s">
        <v>1211</v>
      </c>
      <c r="G1056" s="14">
        <v>76.22</v>
      </c>
      <c r="H1056" s="35">
        <v>45689</v>
      </c>
      <c r="I1056" s="3">
        <v>3.4239999999999999</v>
      </c>
      <c r="J1056" s="3" t="s">
        <v>1187</v>
      </c>
      <c r="K1056" s="11" t="str">
        <f>("10662671220056")</f>
        <v>10662671220056</v>
      </c>
      <c r="L1056" s="3">
        <v>4</v>
      </c>
      <c r="M1056" s="3">
        <v>128</v>
      </c>
    </row>
    <row r="1057" spans="1:13" x14ac:dyDescent="0.25">
      <c r="A1057" s="3" t="s">
        <v>1371</v>
      </c>
      <c r="B1057" s="10" t="s">
        <v>1351</v>
      </c>
      <c r="C1057" s="3" t="str">
        <f>("757640")</f>
        <v>757640</v>
      </c>
      <c r="D1057" s="11" t="str">
        <f>("662671220073")</f>
        <v>662671220073</v>
      </c>
      <c r="E1057" s="3" t="s">
        <v>1212</v>
      </c>
      <c r="F1057" s="8" t="s">
        <v>1213</v>
      </c>
      <c r="G1057" s="14">
        <v>110.13</v>
      </c>
      <c r="H1057" s="35">
        <v>45689</v>
      </c>
      <c r="I1057" s="3">
        <v>6.4240000000000004</v>
      </c>
      <c r="J1057" s="3" t="s">
        <v>1187</v>
      </c>
      <c r="K1057" s="11" t="str">
        <f>("10662671220070")</f>
        <v>10662671220070</v>
      </c>
      <c r="L1057" s="3">
        <v>1</v>
      </c>
      <c r="M1057" s="3">
        <v>45</v>
      </c>
    </row>
    <row r="1058" spans="1:13" x14ac:dyDescent="0.25">
      <c r="A1058" s="3" t="s">
        <v>1371</v>
      </c>
      <c r="B1058" s="10" t="s">
        <v>1351</v>
      </c>
      <c r="C1058" s="3" t="str">
        <f>("757656")</f>
        <v>757656</v>
      </c>
      <c r="D1058" s="11" t="str">
        <f>("662671012623")</f>
        <v>662671012623</v>
      </c>
      <c r="E1058" s="3" t="s">
        <v>1214</v>
      </c>
      <c r="F1058" s="8" t="s">
        <v>1215</v>
      </c>
      <c r="G1058" s="14">
        <v>54.74</v>
      </c>
      <c r="H1058" s="35">
        <v>45689</v>
      </c>
      <c r="I1058" s="3">
        <v>1.9890000000000001</v>
      </c>
      <c r="J1058" s="3" t="s">
        <v>1187</v>
      </c>
      <c r="K1058" s="11" t="str">
        <f>("10662671012620")</f>
        <v>10662671012620</v>
      </c>
      <c r="L1058" s="3">
        <v>1</v>
      </c>
      <c r="M1058" s="3"/>
    </row>
    <row r="1059" spans="1:13" x14ac:dyDescent="0.25">
      <c r="A1059" s="3" t="s">
        <v>1371</v>
      </c>
      <c r="B1059" s="10" t="s">
        <v>1351</v>
      </c>
      <c r="C1059" s="3" t="str">
        <f>("757657")</f>
        <v>757657</v>
      </c>
      <c r="D1059" s="11" t="str">
        <f>("662671220370")</f>
        <v>662671220370</v>
      </c>
      <c r="E1059" s="3" t="s">
        <v>1216</v>
      </c>
      <c r="F1059" s="8" t="s">
        <v>1217</v>
      </c>
      <c r="G1059" s="14">
        <v>64.11</v>
      </c>
      <c r="H1059" s="35">
        <v>45689</v>
      </c>
      <c r="I1059" s="3">
        <v>2.008</v>
      </c>
      <c r="J1059" s="3" t="s">
        <v>1187</v>
      </c>
      <c r="K1059" s="11" t="str">
        <f>("10662671220377")</f>
        <v>10662671220377</v>
      </c>
      <c r="L1059" s="3">
        <v>10</v>
      </c>
      <c r="M1059" s="3"/>
    </row>
    <row r="1060" spans="1:13" x14ac:dyDescent="0.25">
      <c r="A1060" s="3" t="s">
        <v>1371</v>
      </c>
      <c r="B1060" s="10" t="s">
        <v>1351</v>
      </c>
      <c r="C1060" s="3" t="str">
        <f>("757662")</f>
        <v>757662</v>
      </c>
      <c r="D1060" s="11" t="str">
        <f>("662671220158")</f>
        <v>662671220158</v>
      </c>
      <c r="E1060" s="3" t="s">
        <v>1218</v>
      </c>
      <c r="F1060" s="8" t="s">
        <v>1219</v>
      </c>
      <c r="G1060" s="14">
        <v>54.22</v>
      </c>
      <c r="H1060" s="35">
        <v>45689</v>
      </c>
      <c r="I1060" s="3">
        <v>1.68</v>
      </c>
      <c r="J1060" s="3" t="s">
        <v>1187</v>
      </c>
      <c r="K1060" s="11" t="str">
        <f>("10662671220155")</f>
        <v>10662671220155</v>
      </c>
      <c r="L1060" s="3">
        <v>15</v>
      </c>
      <c r="M1060" s="3"/>
    </row>
    <row r="1061" spans="1:13" x14ac:dyDescent="0.25">
      <c r="A1061" s="3" t="s">
        <v>1371</v>
      </c>
      <c r="B1061" s="10" t="s">
        <v>1351</v>
      </c>
      <c r="C1061" s="3" t="str">
        <f>("757663")</f>
        <v>757663</v>
      </c>
      <c r="D1061" s="11" t="str">
        <f>("662671220165")</f>
        <v>662671220165</v>
      </c>
      <c r="E1061" s="3" t="s">
        <v>1220</v>
      </c>
      <c r="F1061" s="8" t="s">
        <v>1221</v>
      </c>
      <c r="G1061" s="14">
        <v>282.31</v>
      </c>
      <c r="H1061" s="35">
        <v>45689</v>
      </c>
      <c r="I1061" s="3">
        <v>9.1509999999999998</v>
      </c>
      <c r="J1061" s="3" t="s">
        <v>1187</v>
      </c>
      <c r="K1061" s="11" t="str">
        <f>("10662671220162")</f>
        <v>10662671220162</v>
      </c>
      <c r="L1061" s="3">
        <v>1</v>
      </c>
      <c r="M1061" s="3">
        <v>48</v>
      </c>
    </row>
    <row r="1062" spans="1:13" x14ac:dyDescent="0.25">
      <c r="A1062" s="3" t="s">
        <v>1371</v>
      </c>
      <c r="B1062" s="10" t="s">
        <v>1351</v>
      </c>
      <c r="C1062" s="3" t="str">
        <f>("757671")</f>
        <v>757671</v>
      </c>
      <c r="D1062" s="11" t="str">
        <f>("662671220097")</f>
        <v>662671220097</v>
      </c>
      <c r="E1062" s="3" t="s">
        <v>1222</v>
      </c>
      <c r="F1062" s="8" t="s">
        <v>1223</v>
      </c>
      <c r="G1062" s="14">
        <v>85.63</v>
      </c>
      <c r="H1062" s="35">
        <v>45689</v>
      </c>
      <c r="I1062" s="3">
        <v>3.5249999999999999</v>
      </c>
      <c r="J1062" s="3" t="s">
        <v>1187</v>
      </c>
      <c r="K1062" s="11" t="str">
        <f>("10662671220094")</f>
        <v>10662671220094</v>
      </c>
      <c r="L1062" s="3">
        <v>1</v>
      </c>
      <c r="M1062" s="3">
        <v>84</v>
      </c>
    </row>
    <row r="1063" spans="1:13" x14ac:dyDescent="0.25">
      <c r="A1063" s="3" t="s">
        <v>1371</v>
      </c>
      <c r="B1063" s="10" t="s">
        <v>1351</v>
      </c>
      <c r="C1063" s="3" t="str">
        <f>("757679")</f>
        <v>757679</v>
      </c>
      <c r="D1063" s="11" t="str">
        <f>("662671220110")</f>
        <v>662671220110</v>
      </c>
      <c r="E1063" s="3" t="s">
        <v>1224</v>
      </c>
      <c r="F1063" s="8" t="s">
        <v>1225</v>
      </c>
      <c r="G1063" s="14">
        <v>112.92</v>
      </c>
      <c r="H1063" s="35">
        <v>45689</v>
      </c>
      <c r="I1063" s="3">
        <v>6.8010000000000002</v>
      </c>
      <c r="J1063" s="3" t="s">
        <v>1187</v>
      </c>
      <c r="K1063" s="11" t="str">
        <f>("10662671220117")</f>
        <v>10662671220117</v>
      </c>
      <c r="L1063" s="3">
        <v>1</v>
      </c>
      <c r="M1063" s="3">
        <v>45</v>
      </c>
    </row>
    <row r="1064" spans="1:13" x14ac:dyDescent="0.25">
      <c r="A1064" s="3" t="s">
        <v>1371</v>
      </c>
      <c r="B1064" s="10" t="s">
        <v>1351</v>
      </c>
      <c r="C1064" s="3" t="str">
        <f>("757680")</f>
        <v>757680</v>
      </c>
      <c r="D1064" s="11" t="str">
        <f>("662671220127")</f>
        <v>662671220127</v>
      </c>
      <c r="E1064" s="3" t="s">
        <v>1226</v>
      </c>
      <c r="F1064" s="8" t="s">
        <v>1227</v>
      </c>
      <c r="G1064" s="14">
        <v>84.71</v>
      </c>
      <c r="H1064" s="35">
        <v>45689</v>
      </c>
      <c r="I1064" s="3">
        <v>3.8010000000000002</v>
      </c>
      <c r="J1064" s="3" t="s">
        <v>1187</v>
      </c>
      <c r="K1064" s="11" t="str">
        <f>("10662671220124")</f>
        <v>10662671220124</v>
      </c>
      <c r="L1064" s="3">
        <v>2</v>
      </c>
      <c r="M1064" s="3">
        <v>144</v>
      </c>
    </row>
    <row r="1065" spans="1:13" x14ac:dyDescent="0.25">
      <c r="A1065" s="3" t="s">
        <v>1371</v>
      </c>
      <c r="B1065" s="10" t="s">
        <v>1351</v>
      </c>
      <c r="C1065" s="3" t="str">
        <f>("757684")</f>
        <v>757684</v>
      </c>
      <c r="D1065" s="11" t="str">
        <f>("662671220172")</f>
        <v>662671220172</v>
      </c>
      <c r="E1065" s="3" t="s">
        <v>1228</v>
      </c>
      <c r="F1065" s="8" t="s">
        <v>1229</v>
      </c>
      <c r="G1065" s="14">
        <v>90.35</v>
      </c>
      <c r="H1065" s="35">
        <v>45689</v>
      </c>
      <c r="I1065" s="3">
        <v>3.7629999999999999</v>
      </c>
      <c r="J1065" s="3" t="s">
        <v>1187</v>
      </c>
      <c r="K1065" s="11" t="str">
        <f>("10662671220179")</f>
        <v>10662671220179</v>
      </c>
      <c r="L1065" s="3">
        <v>1</v>
      </c>
      <c r="M1065" s="3">
        <v>84</v>
      </c>
    </row>
    <row r="1066" spans="1:13" x14ac:dyDescent="0.25">
      <c r="A1066" s="3" t="s">
        <v>1371</v>
      </c>
      <c r="B1066" s="10" t="s">
        <v>1351</v>
      </c>
      <c r="C1066" s="3" t="str">
        <f>("757688")</f>
        <v>757688</v>
      </c>
      <c r="D1066" s="11" t="str">
        <f>("662671220189")</f>
        <v>662671220189</v>
      </c>
      <c r="E1066" s="3" t="s">
        <v>1230</v>
      </c>
      <c r="F1066" s="8" t="s">
        <v>1231</v>
      </c>
      <c r="G1066" s="14">
        <v>71.52</v>
      </c>
      <c r="H1066" s="35">
        <v>45689</v>
      </c>
      <c r="I1066" s="3">
        <v>2.0859999999999999</v>
      </c>
      <c r="J1066" s="3" t="s">
        <v>1187</v>
      </c>
      <c r="K1066" s="11" t="str">
        <f>("10662671220186")</f>
        <v>10662671220186</v>
      </c>
      <c r="L1066" s="3">
        <v>4</v>
      </c>
      <c r="M1066" s="3">
        <v>288</v>
      </c>
    </row>
    <row r="1067" spans="1:13" x14ac:dyDescent="0.25">
      <c r="A1067" s="3" t="s">
        <v>1371</v>
      </c>
      <c r="B1067" s="10" t="s">
        <v>1351</v>
      </c>
      <c r="C1067" s="3" t="str">
        <f>("757701")</f>
        <v>757701</v>
      </c>
      <c r="D1067" s="11" t="str">
        <f>("662671220417")</f>
        <v>662671220417</v>
      </c>
      <c r="E1067" s="3" t="s">
        <v>1232</v>
      </c>
      <c r="F1067" s="8" t="s">
        <v>1233</v>
      </c>
      <c r="G1067" s="14">
        <v>9.0399999999999991</v>
      </c>
      <c r="H1067" s="35">
        <v>45689</v>
      </c>
      <c r="I1067" s="3">
        <v>0.14099999999999999</v>
      </c>
      <c r="J1067" s="3" t="s">
        <v>1187</v>
      </c>
      <c r="K1067" s="11" t="str">
        <f>("10662671220414")</f>
        <v>10662671220414</v>
      </c>
      <c r="L1067" s="3">
        <v>30</v>
      </c>
      <c r="M1067" s="3"/>
    </row>
    <row r="1068" spans="1:13" x14ac:dyDescent="0.25">
      <c r="A1068" s="3" t="s">
        <v>1371</v>
      </c>
      <c r="B1068" s="10" t="s">
        <v>1351</v>
      </c>
      <c r="C1068" s="3" t="str">
        <f>("757711")</f>
        <v>757711</v>
      </c>
      <c r="D1068" s="11" t="str">
        <f>("662671220219")</f>
        <v>662671220219</v>
      </c>
      <c r="E1068" s="3" t="s">
        <v>1234</v>
      </c>
      <c r="F1068" s="8" t="s">
        <v>1235</v>
      </c>
      <c r="G1068" s="14">
        <v>23.71</v>
      </c>
      <c r="H1068" s="35">
        <v>45689</v>
      </c>
      <c r="I1068" s="3">
        <v>0.86399999999999999</v>
      </c>
      <c r="J1068" s="3" t="s">
        <v>1187</v>
      </c>
      <c r="K1068" s="11" t="str">
        <f>("10662671220216")</f>
        <v>10662671220216</v>
      </c>
      <c r="L1068" s="3">
        <v>10</v>
      </c>
      <c r="M1068" s="3">
        <v>1440</v>
      </c>
    </row>
    <row r="1069" spans="1:13" x14ac:dyDescent="0.25">
      <c r="A1069" s="3" t="s">
        <v>1371</v>
      </c>
      <c r="B1069" s="10" t="s">
        <v>1351</v>
      </c>
      <c r="C1069" s="3" t="str">
        <f>("757716")</f>
        <v>757716</v>
      </c>
      <c r="D1069" s="11" t="str">
        <f>("662671220264")</f>
        <v>662671220264</v>
      </c>
      <c r="E1069" s="3" t="s">
        <v>1236</v>
      </c>
      <c r="F1069" s="8" t="s">
        <v>1237</v>
      </c>
      <c r="G1069" s="14">
        <v>9.0399999999999991</v>
      </c>
      <c r="H1069" s="35">
        <v>45689</v>
      </c>
      <c r="I1069" s="3">
        <v>0.34399999999999997</v>
      </c>
      <c r="J1069" s="3" t="s">
        <v>1187</v>
      </c>
      <c r="K1069" s="11" t="str">
        <f>("10662671220261")</f>
        <v>10662671220261</v>
      </c>
      <c r="L1069" s="3">
        <v>20</v>
      </c>
      <c r="M1069" s="3"/>
    </row>
    <row r="1070" spans="1:13" x14ac:dyDescent="0.25">
      <c r="A1070" s="3" t="s">
        <v>1371</v>
      </c>
      <c r="B1070" s="10" t="s">
        <v>1351</v>
      </c>
      <c r="C1070" s="3" t="str">
        <f>("757721")</f>
        <v>757721</v>
      </c>
      <c r="D1070" s="11" t="str">
        <f>("662671220196")</f>
        <v>662671220196</v>
      </c>
      <c r="E1070" s="3" t="s">
        <v>1238</v>
      </c>
      <c r="F1070" s="8" t="s">
        <v>1239</v>
      </c>
      <c r="G1070" s="14">
        <v>15.44</v>
      </c>
      <c r="H1070" s="35">
        <v>45689</v>
      </c>
      <c r="I1070" s="3">
        <v>0.68300000000000005</v>
      </c>
      <c r="J1070" s="3" t="s">
        <v>1187</v>
      </c>
      <c r="K1070" s="11" t="str">
        <f>("10662671220193")</f>
        <v>10662671220193</v>
      </c>
      <c r="L1070" s="3">
        <v>15</v>
      </c>
      <c r="M1070" s="3">
        <v>1080</v>
      </c>
    </row>
    <row r="1071" spans="1:13" x14ac:dyDescent="0.25">
      <c r="A1071" s="3" t="s">
        <v>1371</v>
      </c>
      <c r="B1071" s="10" t="s">
        <v>1351</v>
      </c>
      <c r="C1071" s="3" t="str">
        <f>("757730")</f>
        <v>757730</v>
      </c>
      <c r="D1071" s="11" t="str">
        <f>("662671220240")</f>
        <v>662671220240</v>
      </c>
      <c r="E1071" s="3" t="s">
        <v>1240</v>
      </c>
      <c r="F1071" s="8" t="s">
        <v>1241</v>
      </c>
      <c r="G1071" s="14">
        <v>12.5</v>
      </c>
      <c r="H1071" s="35">
        <v>45689</v>
      </c>
      <c r="I1071" s="3">
        <v>0.65</v>
      </c>
      <c r="J1071" s="3" t="s">
        <v>1187</v>
      </c>
      <c r="K1071" s="11" t="str">
        <f>("10662671220247")</f>
        <v>10662671220247</v>
      </c>
      <c r="L1071" s="3">
        <v>20</v>
      </c>
      <c r="M1071" s="3"/>
    </row>
    <row r="1072" spans="1:13" x14ac:dyDescent="0.25">
      <c r="A1072" s="3" t="s">
        <v>1371</v>
      </c>
      <c r="B1072" s="10" t="s">
        <v>1351</v>
      </c>
      <c r="C1072" s="3" t="str">
        <f>("757735")</f>
        <v>757735</v>
      </c>
      <c r="D1072" s="11" t="str">
        <f>("662671220202")</f>
        <v>662671220202</v>
      </c>
      <c r="E1072" s="3" t="s">
        <v>1242</v>
      </c>
      <c r="F1072" s="8" t="s">
        <v>1243</v>
      </c>
      <c r="G1072" s="14">
        <v>21.65</v>
      </c>
      <c r="H1072" s="35">
        <v>45689</v>
      </c>
      <c r="I1072" s="3">
        <v>1.2989999999999999</v>
      </c>
      <c r="J1072" s="3" t="s">
        <v>1187</v>
      </c>
      <c r="K1072" s="11" t="str">
        <f>("10662671220209")</f>
        <v>10662671220209</v>
      </c>
      <c r="L1072" s="3">
        <v>10</v>
      </c>
      <c r="M1072" s="3">
        <v>480</v>
      </c>
    </row>
    <row r="1073" spans="1:13" x14ac:dyDescent="0.25">
      <c r="A1073" s="3" t="s">
        <v>1371</v>
      </c>
      <c r="B1073" s="10" t="s">
        <v>1351</v>
      </c>
      <c r="C1073" s="3" t="str">
        <f>("760060")</f>
        <v>760060</v>
      </c>
      <c r="D1073" s="11" t="str">
        <f>("662671320360")</f>
        <v>662671320360</v>
      </c>
      <c r="E1073" s="3">
        <v>321842</v>
      </c>
      <c r="F1073" s="8" t="s">
        <v>1244</v>
      </c>
      <c r="G1073" s="14">
        <v>5.13</v>
      </c>
      <c r="H1073" s="35">
        <v>45689</v>
      </c>
      <c r="I1073" s="3">
        <v>0.04</v>
      </c>
      <c r="J1073" s="3" t="s">
        <v>1245</v>
      </c>
      <c r="K1073" s="11" t="str">
        <f>("10662671320367")</f>
        <v>10662671320367</v>
      </c>
      <c r="L1073" s="3">
        <v>50</v>
      </c>
      <c r="M1073" s="3">
        <v>17150</v>
      </c>
    </row>
    <row r="1074" spans="1:13" x14ac:dyDescent="0.25">
      <c r="A1074" s="3" t="s">
        <v>1371</v>
      </c>
      <c r="B1074" s="10" t="s">
        <v>1351</v>
      </c>
      <c r="C1074" s="3" t="str">
        <f>("760066")</f>
        <v>760066</v>
      </c>
      <c r="D1074" s="11" t="str">
        <f>("662671320261")</f>
        <v>662671320261</v>
      </c>
      <c r="E1074" s="3" t="s">
        <v>1246</v>
      </c>
      <c r="F1074" s="8" t="s">
        <v>1247</v>
      </c>
      <c r="G1074" s="14">
        <v>5.13</v>
      </c>
      <c r="H1074" s="35">
        <v>45689</v>
      </c>
      <c r="I1074" s="3">
        <v>4.2000000000000003E-2</v>
      </c>
      <c r="J1074" s="3" t="s">
        <v>1245</v>
      </c>
      <c r="K1074" s="11" t="str">
        <f>("10662671320268")</f>
        <v>10662671320268</v>
      </c>
      <c r="L1074" s="3">
        <v>50</v>
      </c>
      <c r="M1074" s="3">
        <v>17150</v>
      </c>
    </row>
    <row r="1075" spans="1:13" x14ac:dyDescent="0.25">
      <c r="A1075" s="3" t="s">
        <v>1371</v>
      </c>
      <c r="B1075" s="10" t="s">
        <v>1351</v>
      </c>
      <c r="C1075" s="3" t="str">
        <f>("760071")</f>
        <v>760071</v>
      </c>
      <c r="D1075" s="11" t="str">
        <f>("662671320377")</f>
        <v>662671320377</v>
      </c>
      <c r="E1075" s="3">
        <v>321843</v>
      </c>
      <c r="F1075" s="8" t="s">
        <v>1248</v>
      </c>
      <c r="G1075" s="14">
        <v>5.67</v>
      </c>
      <c r="H1075" s="35">
        <v>45689</v>
      </c>
      <c r="I1075" s="3">
        <v>6.6000000000000003E-2</v>
      </c>
      <c r="J1075" s="3" t="s">
        <v>1245</v>
      </c>
      <c r="K1075" s="11" t="str">
        <f>("10662671320374")</f>
        <v>10662671320374</v>
      </c>
      <c r="L1075" s="3">
        <v>50</v>
      </c>
      <c r="M1075" s="3">
        <v>7200</v>
      </c>
    </row>
    <row r="1076" spans="1:13" x14ac:dyDescent="0.25">
      <c r="A1076" s="3" t="s">
        <v>1371</v>
      </c>
      <c r="B1076" s="10" t="s">
        <v>1351</v>
      </c>
      <c r="C1076" s="3" t="str">
        <f>("760077")</f>
        <v>760077</v>
      </c>
      <c r="D1076" s="11" t="str">
        <f>("662671320209")</f>
        <v>662671320209</v>
      </c>
      <c r="E1076" s="3" t="s">
        <v>1249</v>
      </c>
      <c r="F1076" s="8" t="s">
        <v>1250</v>
      </c>
      <c r="G1076" s="14">
        <v>5.67</v>
      </c>
      <c r="H1076" s="35">
        <v>45689</v>
      </c>
      <c r="I1076" s="3">
        <v>6.6000000000000003E-2</v>
      </c>
      <c r="J1076" s="3" t="s">
        <v>1245</v>
      </c>
      <c r="K1076" s="11" t="str">
        <f>("10662671320206")</f>
        <v>10662671320206</v>
      </c>
      <c r="L1076" s="3">
        <v>50</v>
      </c>
      <c r="M1076" s="3">
        <v>7200</v>
      </c>
    </row>
    <row r="1077" spans="1:13" x14ac:dyDescent="0.25">
      <c r="A1077" s="3" t="s">
        <v>1371</v>
      </c>
      <c r="B1077" s="10" t="s">
        <v>1351</v>
      </c>
      <c r="C1077" s="3" t="str">
        <f>("760085")</f>
        <v>760085</v>
      </c>
      <c r="D1077" s="11" t="str">
        <f>("662671320384")</f>
        <v>662671320384</v>
      </c>
      <c r="E1077" s="3">
        <v>321844</v>
      </c>
      <c r="F1077" s="8" t="s">
        <v>1251</v>
      </c>
      <c r="G1077" s="14">
        <v>7.93</v>
      </c>
      <c r="H1077" s="35">
        <v>45689</v>
      </c>
      <c r="I1077" s="3">
        <v>0.13700000000000001</v>
      </c>
      <c r="J1077" s="3" t="s">
        <v>1245</v>
      </c>
      <c r="K1077" s="11" t="str">
        <f>("10662671320381")</f>
        <v>10662671320381</v>
      </c>
      <c r="L1077" s="3">
        <v>25</v>
      </c>
      <c r="M1077" s="3">
        <v>3600</v>
      </c>
    </row>
    <row r="1078" spans="1:13" x14ac:dyDescent="0.25">
      <c r="A1078" s="3" t="s">
        <v>1371</v>
      </c>
      <c r="B1078" s="10" t="s">
        <v>1351</v>
      </c>
      <c r="C1078" s="3" t="str">
        <f>("760091")</f>
        <v>760091</v>
      </c>
      <c r="D1078" s="11" t="str">
        <f>("662671320216")</f>
        <v>662671320216</v>
      </c>
      <c r="E1078" s="3" t="s">
        <v>1252</v>
      </c>
      <c r="F1078" s="8" t="s">
        <v>1253</v>
      </c>
      <c r="G1078" s="14">
        <v>7.93</v>
      </c>
      <c r="H1078" s="35">
        <v>45689</v>
      </c>
      <c r="I1078" s="3">
        <v>0.14299999999999999</v>
      </c>
      <c r="J1078" s="3" t="s">
        <v>1245</v>
      </c>
      <c r="K1078" s="11" t="str">
        <f>("10662671320213")</f>
        <v>10662671320213</v>
      </c>
      <c r="L1078" s="3">
        <v>25</v>
      </c>
      <c r="M1078" s="3">
        <v>3600</v>
      </c>
    </row>
    <row r="1079" spans="1:13" x14ac:dyDescent="0.25">
      <c r="A1079" s="3" t="s">
        <v>1371</v>
      </c>
      <c r="B1079" s="10" t="s">
        <v>1351</v>
      </c>
      <c r="C1079" s="3" t="str">
        <f>("760101")</f>
        <v>760101</v>
      </c>
      <c r="D1079" s="11" t="str">
        <f>("662671320056")</f>
        <v>662671320056</v>
      </c>
      <c r="E1079" s="3" t="s">
        <v>1254</v>
      </c>
      <c r="F1079" s="8" t="s">
        <v>1255</v>
      </c>
      <c r="G1079" s="14">
        <v>3.44</v>
      </c>
      <c r="H1079" s="35">
        <v>45689</v>
      </c>
      <c r="I1079" s="3">
        <v>8.4000000000000005E-2</v>
      </c>
      <c r="J1079" s="3" t="s">
        <v>1245</v>
      </c>
      <c r="K1079" s="11" t="str">
        <f>("00662671320056")</f>
        <v>00662671320056</v>
      </c>
      <c r="L1079" s="3">
        <v>1</v>
      </c>
      <c r="M1079" s="3"/>
    </row>
    <row r="1080" spans="1:13" x14ac:dyDescent="0.25">
      <c r="A1080" s="3" t="s">
        <v>1371</v>
      </c>
      <c r="B1080" s="10" t="s">
        <v>1351</v>
      </c>
      <c r="C1080" s="3" t="str">
        <f>("760112")</f>
        <v>760112</v>
      </c>
      <c r="D1080" s="11" t="str">
        <f>("662671320674")</f>
        <v>662671320674</v>
      </c>
      <c r="E1080" s="3" t="s">
        <v>1256</v>
      </c>
      <c r="F1080" s="8" t="s">
        <v>1257</v>
      </c>
      <c r="G1080" s="14">
        <v>29.82</v>
      </c>
      <c r="H1080" s="35">
        <v>45689</v>
      </c>
      <c r="I1080" s="3">
        <v>0.99199999999999999</v>
      </c>
      <c r="J1080" s="3" t="s">
        <v>1245</v>
      </c>
      <c r="K1080" s="11" t="str">
        <f>("10662671320671")</f>
        <v>10662671320671</v>
      </c>
      <c r="L1080" s="3">
        <v>20</v>
      </c>
      <c r="M1080" s="3"/>
    </row>
    <row r="1081" spans="1:13" x14ac:dyDescent="0.25">
      <c r="A1081" s="3" t="s">
        <v>1371</v>
      </c>
      <c r="B1081" s="10" t="s">
        <v>1351</v>
      </c>
      <c r="C1081" s="3" t="str">
        <f>("760129")</f>
        <v>760129</v>
      </c>
      <c r="D1081" s="11" t="str">
        <f>("662671320797")</f>
        <v>662671320797</v>
      </c>
      <c r="E1081" s="3" t="s">
        <v>1258</v>
      </c>
      <c r="F1081" s="8" t="s">
        <v>1259</v>
      </c>
      <c r="G1081" s="14">
        <v>18.09</v>
      </c>
      <c r="H1081" s="35">
        <v>45689</v>
      </c>
      <c r="I1081" s="3">
        <v>0.66100000000000003</v>
      </c>
      <c r="J1081" s="3" t="s">
        <v>1245</v>
      </c>
      <c r="K1081" s="11" t="str">
        <f>("10662671320794")</f>
        <v>10662671320794</v>
      </c>
      <c r="L1081" s="3">
        <v>20</v>
      </c>
      <c r="M1081" s="3"/>
    </row>
    <row r="1082" spans="1:13" x14ac:dyDescent="0.25">
      <c r="A1082" s="3" t="s">
        <v>1371</v>
      </c>
      <c r="B1082" s="10" t="s">
        <v>1351</v>
      </c>
      <c r="C1082" s="3" t="str">
        <f>("760167")</f>
        <v>760167</v>
      </c>
      <c r="D1082" s="11" t="str">
        <f>("662671320254")</f>
        <v>662671320254</v>
      </c>
      <c r="E1082" s="3" t="s">
        <v>1260</v>
      </c>
      <c r="F1082" s="8" t="s">
        <v>1261</v>
      </c>
      <c r="G1082" s="14">
        <v>20.41</v>
      </c>
      <c r="H1082" s="35">
        <v>45689</v>
      </c>
      <c r="I1082" s="3">
        <v>0.54200000000000004</v>
      </c>
      <c r="J1082" s="3" t="s">
        <v>1245</v>
      </c>
      <c r="K1082" s="11" t="str">
        <f>("10662671320251")</f>
        <v>10662671320251</v>
      </c>
      <c r="L1082" s="3">
        <v>25</v>
      </c>
      <c r="M1082" s="3">
        <v>1800</v>
      </c>
    </row>
    <row r="1083" spans="1:13" x14ac:dyDescent="0.25">
      <c r="A1083" s="3" t="s">
        <v>1371</v>
      </c>
      <c r="B1083" s="10" t="s">
        <v>1351</v>
      </c>
      <c r="C1083" s="3" t="str">
        <f>("760170")</f>
        <v>760170</v>
      </c>
      <c r="D1083" s="11" t="str">
        <f>("662671320193")</f>
        <v>662671320193</v>
      </c>
      <c r="E1083" s="3" t="s">
        <v>1262</v>
      </c>
      <c r="F1083" s="8" t="s">
        <v>1263</v>
      </c>
      <c r="G1083" s="14">
        <v>31.79</v>
      </c>
      <c r="H1083" s="35">
        <v>45689</v>
      </c>
      <c r="I1083" s="3">
        <v>0.65900000000000003</v>
      </c>
      <c r="J1083" s="3" t="s">
        <v>1245</v>
      </c>
      <c r="K1083" s="11" t="str">
        <f>("10662671320190")</f>
        <v>10662671320190</v>
      </c>
      <c r="L1083" s="3">
        <v>25</v>
      </c>
      <c r="M1083" s="3">
        <v>1800</v>
      </c>
    </row>
    <row r="1084" spans="1:13" x14ac:dyDescent="0.25">
      <c r="A1084" s="3" t="s">
        <v>1371</v>
      </c>
      <c r="B1084" s="10" t="s">
        <v>1351</v>
      </c>
      <c r="C1084" s="3" t="str">
        <f>("760230")</f>
        <v>760230</v>
      </c>
      <c r="D1084" s="11" t="str">
        <f>("662671320247")</f>
        <v>662671320247</v>
      </c>
      <c r="E1084" s="3" t="s">
        <v>1264</v>
      </c>
      <c r="F1084" s="8" t="s">
        <v>1265</v>
      </c>
      <c r="G1084" s="14">
        <v>38.57</v>
      </c>
      <c r="H1084" s="35">
        <v>45689</v>
      </c>
      <c r="I1084" s="3">
        <v>1.202</v>
      </c>
      <c r="J1084" s="3" t="s">
        <v>1245</v>
      </c>
      <c r="K1084" s="11" t="str">
        <f>("10662671320244")</f>
        <v>10662671320244</v>
      </c>
      <c r="L1084" s="3">
        <v>10</v>
      </c>
      <c r="M1084" s="3">
        <v>480</v>
      </c>
    </row>
    <row r="1085" spans="1:13" x14ac:dyDescent="0.25">
      <c r="A1085" s="3" t="s">
        <v>1371</v>
      </c>
      <c r="B1085" s="10" t="s">
        <v>1351</v>
      </c>
      <c r="C1085" s="3" t="str">
        <f>("760240")</f>
        <v>760240</v>
      </c>
      <c r="D1085" s="11" t="str">
        <f>("662671320629")</f>
        <v>662671320629</v>
      </c>
      <c r="E1085" s="3" t="s">
        <v>1266</v>
      </c>
      <c r="F1085" s="8" t="s">
        <v>1267</v>
      </c>
      <c r="G1085" s="14">
        <v>38.57</v>
      </c>
      <c r="H1085" s="35">
        <v>45689</v>
      </c>
      <c r="I1085" s="3">
        <v>1.2370000000000001</v>
      </c>
      <c r="J1085" s="3" t="s">
        <v>1245</v>
      </c>
      <c r="K1085" s="11" t="str">
        <f>("10662671320626")</f>
        <v>10662671320626</v>
      </c>
      <c r="L1085" s="3">
        <v>10</v>
      </c>
      <c r="M1085" s="3">
        <v>480</v>
      </c>
    </row>
    <row r="1086" spans="1:13" x14ac:dyDescent="0.25">
      <c r="A1086" s="3" t="s">
        <v>1371</v>
      </c>
      <c r="B1086" s="10" t="s">
        <v>1351</v>
      </c>
      <c r="C1086" s="3" t="str">
        <f>("760251")</f>
        <v>760251</v>
      </c>
      <c r="D1086" s="11" t="str">
        <f>("662671320452")</f>
        <v>662671320452</v>
      </c>
      <c r="E1086" s="3" t="s">
        <v>1268</v>
      </c>
      <c r="F1086" s="8" t="s">
        <v>1269</v>
      </c>
      <c r="G1086" s="14">
        <v>34.479999999999997</v>
      </c>
      <c r="H1086" s="35">
        <v>45689</v>
      </c>
      <c r="I1086" s="3">
        <v>0.68300000000000005</v>
      </c>
      <c r="J1086" s="3" t="s">
        <v>1245</v>
      </c>
      <c r="K1086" s="11" t="str">
        <f>("10662671320459")</f>
        <v>10662671320459</v>
      </c>
      <c r="L1086" s="3">
        <v>8</v>
      </c>
      <c r="M1086" s="3">
        <v>1152</v>
      </c>
    </row>
    <row r="1087" spans="1:13" x14ac:dyDescent="0.25">
      <c r="A1087" s="3" t="s">
        <v>1371</v>
      </c>
      <c r="B1087" s="10" t="s">
        <v>1351</v>
      </c>
      <c r="C1087" s="3" t="str">
        <f>("761003")</f>
        <v>761003</v>
      </c>
      <c r="D1087" s="11" t="str">
        <f>("662671333490")</f>
        <v>662671333490</v>
      </c>
      <c r="E1087" s="3" t="s">
        <v>1270</v>
      </c>
      <c r="F1087" s="8" t="s">
        <v>1271</v>
      </c>
      <c r="G1087" s="14">
        <v>26.63</v>
      </c>
      <c r="H1087" s="35">
        <v>45689</v>
      </c>
      <c r="I1087" s="3">
        <v>0.128</v>
      </c>
      <c r="J1087" s="3" t="s">
        <v>1245</v>
      </c>
      <c r="K1087" s="11" t="str">
        <f>("10662671333497")</f>
        <v>10662671333497</v>
      </c>
      <c r="L1087" s="3">
        <v>120</v>
      </c>
      <c r="M1087" s="3"/>
    </row>
    <row r="1088" spans="1:13" x14ac:dyDescent="0.25">
      <c r="A1088" s="3" t="s">
        <v>1371</v>
      </c>
      <c r="B1088" s="10" t="s">
        <v>1351</v>
      </c>
      <c r="C1088" s="3" t="str">
        <f>("761004")</f>
        <v>761004</v>
      </c>
      <c r="D1088" s="11" t="str">
        <f>("662671333506")</f>
        <v>662671333506</v>
      </c>
      <c r="E1088" s="3" t="s">
        <v>1272</v>
      </c>
      <c r="F1088" s="8" t="s">
        <v>1273</v>
      </c>
      <c r="G1088" s="14">
        <v>26.63</v>
      </c>
      <c r="H1088" s="35">
        <v>45689</v>
      </c>
      <c r="I1088" s="3">
        <v>0.128</v>
      </c>
      <c r="J1088" s="3" t="s">
        <v>1245</v>
      </c>
      <c r="K1088" s="11" t="str">
        <f>("10662671333503")</f>
        <v>10662671333503</v>
      </c>
      <c r="L1088" s="3">
        <v>160</v>
      </c>
      <c r="M1088" s="3"/>
    </row>
    <row r="1089" spans="1:13" x14ac:dyDescent="0.25">
      <c r="A1089" s="3" t="s">
        <v>1371</v>
      </c>
      <c r="B1089" s="10" t="s">
        <v>1351</v>
      </c>
      <c r="C1089" s="3" t="str">
        <f>("761006")</f>
        <v>761006</v>
      </c>
      <c r="D1089" s="11" t="str">
        <f>("662671330789")</f>
        <v>662671330789</v>
      </c>
      <c r="E1089" s="3" t="s">
        <v>1274</v>
      </c>
      <c r="F1089" s="8" t="s">
        <v>1275</v>
      </c>
      <c r="G1089" s="14">
        <v>9.08</v>
      </c>
      <c r="H1089" s="35">
        <v>45689</v>
      </c>
      <c r="I1089" s="3">
        <v>0.121</v>
      </c>
      <c r="J1089" s="3" t="s">
        <v>1245</v>
      </c>
      <c r="K1089" s="11" t="str">
        <f>("20662671330783")</f>
        <v>20662671330783</v>
      </c>
      <c r="L1089" s="3">
        <v>120</v>
      </c>
      <c r="M1089" s="3"/>
    </row>
    <row r="1090" spans="1:13" x14ac:dyDescent="0.25">
      <c r="A1090" s="3" t="s">
        <v>1371</v>
      </c>
      <c r="B1090" s="10" t="s">
        <v>1351</v>
      </c>
      <c r="C1090" s="3" t="str">
        <f>("761019")</f>
        <v>761019</v>
      </c>
      <c r="D1090" s="11" t="str">
        <f>("662671333513")</f>
        <v>662671333513</v>
      </c>
      <c r="E1090" s="3" t="s">
        <v>1276</v>
      </c>
      <c r="F1090" s="8" t="s">
        <v>1277</v>
      </c>
      <c r="G1090" s="14">
        <v>26.63</v>
      </c>
      <c r="H1090" s="35">
        <v>45689</v>
      </c>
      <c r="I1090" s="3">
        <v>0.17199999999999999</v>
      </c>
      <c r="J1090" s="3" t="s">
        <v>1245</v>
      </c>
      <c r="K1090" s="11" t="str">
        <f>("10662671333510")</f>
        <v>10662671333510</v>
      </c>
      <c r="L1090" s="3">
        <v>160</v>
      </c>
      <c r="M1090" s="3"/>
    </row>
    <row r="1091" spans="1:13" x14ac:dyDescent="0.25">
      <c r="A1091" s="3" t="s">
        <v>1371</v>
      </c>
      <c r="B1091" s="10" t="s">
        <v>1351</v>
      </c>
      <c r="C1091" s="3" t="str">
        <f>("761020")</f>
        <v>761020</v>
      </c>
      <c r="D1091" s="11" t="str">
        <f>("662671333520")</f>
        <v>662671333520</v>
      </c>
      <c r="E1091" s="3" t="s">
        <v>1278</v>
      </c>
      <c r="F1091" s="8" t="s">
        <v>1279</v>
      </c>
      <c r="G1091" s="14">
        <v>28.14</v>
      </c>
      <c r="H1091" s="35">
        <v>45689</v>
      </c>
      <c r="I1091" s="3">
        <v>0.18099999999999999</v>
      </c>
      <c r="J1091" s="3" t="s">
        <v>1245</v>
      </c>
      <c r="K1091" s="11" t="str">
        <f>("10662671333527")</f>
        <v>10662671333527</v>
      </c>
      <c r="L1091" s="3">
        <v>160</v>
      </c>
      <c r="M1091" s="3"/>
    </row>
    <row r="1092" spans="1:13" x14ac:dyDescent="0.25">
      <c r="A1092" s="3" t="s">
        <v>1371</v>
      </c>
      <c r="B1092" s="10" t="s">
        <v>1351</v>
      </c>
      <c r="C1092" s="3" t="str">
        <f>("761022")</f>
        <v>761022</v>
      </c>
      <c r="D1092" s="11" t="str">
        <f>("662671330802")</f>
        <v>662671330802</v>
      </c>
      <c r="E1092" s="3" t="s">
        <v>1280</v>
      </c>
      <c r="F1092" s="8" t="s">
        <v>1281</v>
      </c>
      <c r="G1092" s="14">
        <v>9.7799999999999994</v>
      </c>
      <c r="H1092" s="35">
        <v>45689</v>
      </c>
      <c r="I1092" s="3">
        <v>0.157</v>
      </c>
      <c r="J1092" s="3" t="s">
        <v>1245</v>
      </c>
      <c r="K1092" s="11" t="str">
        <f>("10662671330809")</f>
        <v>10662671330809</v>
      </c>
      <c r="L1092" s="3">
        <v>160</v>
      </c>
      <c r="M1092" s="3"/>
    </row>
    <row r="1093" spans="1:13" x14ac:dyDescent="0.25">
      <c r="A1093" s="3" t="s">
        <v>1371</v>
      </c>
      <c r="B1093" s="10" t="s">
        <v>1351</v>
      </c>
      <c r="C1093" s="3" t="str">
        <f>("761051")</f>
        <v>761051</v>
      </c>
      <c r="D1093" s="11" t="str">
        <f>("662671330864")</f>
        <v>662671330864</v>
      </c>
      <c r="E1093" s="3" t="s">
        <v>1282</v>
      </c>
      <c r="F1093" s="8" t="s">
        <v>1283</v>
      </c>
      <c r="G1093" s="14">
        <v>56.44</v>
      </c>
      <c r="H1093" s="35">
        <v>45689</v>
      </c>
      <c r="I1093" s="3">
        <v>1.1639999999999999</v>
      </c>
      <c r="J1093" s="3" t="s">
        <v>1245</v>
      </c>
      <c r="K1093" s="11" t="str">
        <f>("00662671330864")</f>
        <v>00662671330864</v>
      </c>
      <c r="L1093" s="3">
        <v>1</v>
      </c>
      <c r="M1093" s="3"/>
    </row>
    <row r="1094" spans="1:13" x14ac:dyDescent="0.25">
      <c r="A1094" s="3" t="s">
        <v>1371</v>
      </c>
      <c r="B1094" s="10" t="s">
        <v>1351</v>
      </c>
      <c r="C1094" s="3">
        <v>760299</v>
      </c>
      <c r="D1094" s="11">
        <v>662671320544</v>
      </c>
      <c r="E1094" s="3">
        <v>322806</v>
      </c>
      <c r="F1094" s="8" t="s">
        <v>1370</v>
      </c>
      <c r="G1094" s="14">
        <v>51.123800000000003</v>
      </c>
      <c r="H1094" s="35">
        <v>45689</v>
      </c>
      <c r="I1094" s="3">
        <v>0.94799999999999995</v>
      </c>
      <c r="J1094" s="3" t="s">
        <v>1245</v>
      </c>
      <c r="K1094" s="11">
        <v>10662671320541</v>
      </c>
      <c r="L1094" s="3">
        <v>25</v>
      </c>
      <c r="M1094" s="3">
        <v>800</v>
      </c>
    </row>
    <row r="1095" spans="1:13" x14ac:dyDescent="0.25">
      <c r="A1095" s="3" t="s">
        <v>1371</v>
      </c>
      <c r="B1095" s="10" t="s">
        <v>1351</v>
      </c>
      <c r="C1095" s="3" t="str">
        <f>("761477")</f>
        <v>761477</v>
      </c>
      <c r="D1095" s="11" t="str">
        <f>("662671331144")</f>
        <v>662671331144</v>
      </c>
      <c r="E1095" s="3" t="s">
        <v>1284</v>
      </c>
      <c r="F1095" s="8" t="s">
        <v>1285</v>
      </c>
      <c r="G1095" s="14">
        <v>17.900000000000002</v>
      </c>
      <c r="H1095" s="35">
        <v>45689</v>
      </c>
      <c r="I1095" s="3">
        <v>0.49199999999999999</v>
      </c>
      <c r="J1095" s="3" t="s">
        <v>1245</v>
      </c>
      <c r="K1095" s="11" t="str">
        <f>("10662671331141")</f>
        <v>10662671331141</v>
      </c>
      <c r="L1095" s="3">
        <v>50</v>
      </c>
      <c r="M1095" s="3"/>
    </row>
    <row r="1096" spans="1:13" x14ac:dyDescent="0.25">
      <c r="A1096" s="3" t="s">
        <v>1371</v>
      </c>
      <c r="B1096" s="10" t="s">
        <v>1351</v>
      </c>
      <c r="C1096" s="3" t="str">
        <f>("761478")</f>
        <v>761478</v>
      </c>
      <c r="D1096" s="11" t="str">
        <f>("662671331007")</f>
        <v>662671331007</v>
      </c>
      <c r="E1096" s="3" t="s">
        <v>1286</v>
      </c>
      <c r="F1096" s="8" t="s">
        <v>1287</v>
      </c>
      <c r="G1096" s="14">
        <v>31.45</v>
      </c>
      <c r="H1096" s="35">
        <v>45689</v>
      </c>
      <c r="I1096" s="3">
        <v>0.65300000000000002</v>
      </c>
      <c r="J1096" s="3" t="s">
        <v>1245</v>
      </c>
      <c r="K1096" s="11" t="str">
        <f>("10662671331004")</f>
        <v>10662671331004</v>
      </c>
      <c r="L1096" s="3">
        <v>50</v>
      </c>
      <c r="M1096" s="3"/>
    </row>
    <row r="1097" spans="1:13" x14ac:dyDescent="0.25">
      <c r="A1097" s="3" t="s">
        <v>1371</v>
      </c>
      <c r="B1097" s="10" t="s">
        <v>1351</v>
      </c>
      <c r="C1097" s="3" t="str">
        <f>("761479")</f>
        <v>761479</v>
      </c>
      <c r="D1097" s="11" t="str">
        <f>("662671331106")</f>
        <v>662671331106</v>
      </c>
      <c r="E1097" s="3" t="s">
        <v>1288</v>
      </c>
      <c r="F1097" s="8" t="s">
        <v>1289</v>
      </c>
      <c r="G1097" s="14">
        <v>21.4</v>
      </c>
      <c r="H1097" s="35">
        <v>45689</v>
      </c>
      <c r="I1097" s="3">
        <v>0.60199999999999998</v>
      </c>
      <c r="J1097" s="3" t="s">
        <v>1245</v>
      </c>
      <c r="K1097" s="11" t="str">
        <f>("10662671331103")</f>
        <v>10662671331103</v>
      </c>
      <c r="L1097" s="3">
        <v>50</v>
      </c>
      <c r="M1097" s="3"/>
    </row>
    <row r="1098" spans="1:13" x14ac:dyDescent="0.25">
      <c r="A1098" s="3" t="s">
        <v>1371</v>
      </c>
      <c r="B1098" s="10" t="s">
        <v>1351</v>
      </c>
      <c r="C1098" s="3" t="str">
        <f>("761480")</f>
        <v>761480</v>
      </c>
      <c r="D1098" s="11" t="str">
        <f>("662671333452")</f>
        <v>662671333452</v>
      </c>
      <c r="E1098" s="3" t="s">
        <v>1290</v>
      </c>
      <c r="F1098" s="8" t="s">
        <v>1291</v>
      </c>
      <c r="G1098" s="14">
        <v>79.8</v>
      </c>
      <c r="H1098" s="35">
        <v>45689</v>
      </c>
      <c r="I1098" s="3">
        <v>1.3759999999999999</v>
      </c>
      <c r="J1098" s="3" t="s">
        <v>1245</v>
      </c>
      <c r="K1098" s="11" t="str">
        <f>("10662671333459")</f>
        <v>10662671333459</v>
      </c>
      <c r="L1098" s="3">
        <v>10</v>
      </c>
      <c r="M1098" s="3"/>
    </row>
    <row r="1099" spans="1:13" x14ac:dyDescent="0.25">
      <c r="A1099" s="3" t="s">
        <v>1371</v>
      </c>
      <c r="B1099" s="10" t="s">
        <v>1351</v>
      </c>
      <c r="C1099" s="3" t="str">
        <f>("761483")</f>
        <v>761483</v>
      </c>
      <c r="D1099" s="11" t="str">
        <f>("662671331113")</f>
        <v>662671331113</v>
      </c>
      <c r="E1099" s="3" t="s">
        <v>1292</v>
      </c>
      <c r="F1099" s="8" t="s">
        <v>1293</v>
      </c>
      <c r="G1099" s="14">
        <v>19.5</v>
      </c>
      <c r="H1099" s="35">
        <v>45689</v>
      </c>
      <c r="I1099" s="3">
        <v>0.46100000000000002</v>
      </c>
      <c r="J1099" s="3" t="s">
        <v>1245</v>
      </c>
      <c r="K1099" s="11" t="str">
        <f>("10662671331110")</f>
        <v>10662671331110</v>
      </c>
      <c r="L1099" s="3">
        <v>50</v>
      </c>
      <c r="M1099" s="3"/>
    </row>
    <row r="1100" spans="1:13" x14ac:dyDescent="0.25">
      <c r="A1100" s="3" t="s">
        <v>1371</v>
      </c>
      <c r="B1100" s="10" t="s">
        <v>1351</v>
      </c>
      <c r="C1100" s="3" t="str">
        <f>("761484")</f>
        <v>761484</v>
      </c>
      <c r="D1100" s="11" t="str">
        <f>("662671331120")</f>
        <v>662671331120</v>
      </c>
      <c r="E1100" s="3" t="s">
        <v>1294</v>
      </c>
      <c r="F1100" s="8" t="s">
        <v>1295</v>
      </c>
      <c r="G1100" s="14">
        <v>28.85</v>
      </c>
      <c r="H1100" s="35">
        <v>45689</v>
      </c>
      <c r="I1100" s="3">
        <v>0.71</v>
      </c>
      <c r="J1100" s="3" t="s">
        <v>1245</v>
      </c>
      <c r="K1100" s="11" t="str">
        <f>("10662671331127")</f>
        <v>10662671331127</v>
      </c>
      <c r="L1100" s="3">
        <v>50</v>
      </c>
      <c r="M1100" s="3"/>
    </row>
    <row r="1101" spans="1:13" x14ac:dyDescent="0.25">
      <c r="A1101" s="3" t="s">
        <v>1371</v>
      </c>
      <c r="B1101" s="10" t="s">
        <v>1351</v>
      </c>
      <c r="C1101" s="3" t="str">
        <f>("762645")</f>
        <v>762645</v>
      </c>
      <c r="D1101" s="11" t="str">
        <f>("662671380289")</f>
        <v>662671380289</v>
      </c>
      <c r="E1101" s="3" t="s">
        <v>1296</v>
      </c>
      <c r="F1101" s="8" t="s">
        <v>1297</v>
      </c>
      <c r="G1101" s="14">
        <v>13.81</v>
      </c>
      <c r="H1101" s="35">
        <v>45689</v>
      </c>
      <c r="I1101" s="3">
        <v>0.159</v>
      </c>
      <c r="J1101" s="3" t="s">
        <v>1298</v>
      </c>
      <c r="K1101" s="11" t="str">
        <f>("00662671380289")</f>
        <v>00662671380289</v>
      </c>
      <c r="L1101" s="3">
        <v>1</v>
      </c>
      <c r="M1101" s="3"/>
    </row>
    <row r="1102" spans="1:13" x14ac:dyDescent="0.25">
      <c r="A1102" s="3" t="s">
        <v>1371</v>
      </c>
      <c r="B1102" s="10" t="s">
        <v>1351</v>
      </c>
      <c r="C1102" s="3" t="str">
        <f>("762647")</f>
        <v>762647</v>
      </c>
      <c r="D1102" s="11" t="str">
        <f>("662671380296")</f>
        <v>662671380296</v>
      </c>
      <c r="E1102" s="3">
        <v>383552</v>
      </c>
      <c r="F1102" s="8" t="s">
        <v>1299</v>
      </c>
      <c r="G1102" s="14">
        <v>112.92</v>
      </c>
      <c r="H1102" s="35">
        <v>45689</v>
      </c>
      <c r="I1102" s="3">
        <v>3.38</v>
      </c>
      <c r="J1102" s="3" t="s">
        <v>1298</v>
      </c>
      <c r="K1102" s="11" t="str">
        <f>("10662671380293")</f>
        <v>10662671380293</v>
      </c>
      <c r="L1102" s="3">
        <v>5</v>
      </c>
      <c r="M1102" s="3">
        <v>90</v>
      </c>
    </row>
    <row r="1103" spans="1:13" x14ac:dyDescent="0.25">
      <c r="A1103" s="3" t="s">
        <v>1371</v>
      </c>
      <c r="B1103" s="10" t="s">
        <v>1351</v>
      </c>
      <c r="C1103" s="3" t="str">
        <f>("762650")</f>
        <v>762650</v>
      </c>
      <c r="D1103" s="11" t="str">
        <f>("662671380302")</f>
        <v>662671380302</v>
      </c>
      <c r="E1103" s="3" t="s">
        <v>1300</v>
      </c>
      <c r="F1103" s="8" t="s">
        <v>1301</v>
      </c>
      <c r="G1103" s="14">
        <v>20.99</v>
      </c>
      <c r="H1103" s="35">
        <v>45689</v>
      </c>
      <c r="I1103" s="3">
        <v>0.55800000000000005</v>
      </c>
      <c r="J1103" s="3" t="s">
        <v>1298</v>
      </c>
      <c r="K1103" s="11" t="str">
        <f>("10662671380309")</f>
        <v>10662671380309</v>
      </c>
      <c r="L1103" s="3">
        <v>1</v>
      </c>
      <c r="M1103" s="3"/>
    </row>
    <row r="1104" spans="1:13" x14ac:dyDescent="0.25">
      <c r="A1104" s="3" t="s">
        <v>1371</v>
      </c>
      <c r="B1104" s="10" t="s">
        <v>1351</v>
      </c>
      <c r="C1104" s="3" t="str">
        <f>("762652")</f>
        <v>762652</v>
      </c>
      <c r="D1104" s="11" t="str">
        <f>("662671380319")</f>
        <v>662671380319</v>
      </c>
      <c r="E1104" s="3" t="s">
        <v>1302</v>
      </c>
      <c r="F1104" s="8" t="s">
        <v>1303</v>
      </c>
      <c r="G1104" s="14">
        <v>31.86</v>
      </c>
      <c r="H1104" s="35">
        <v>45689</v>
      </c>
      <c r="I1104" s="3">
        <v>0.78500000000000003</v>
      </c>
      <c r="J1104" s="3" t="s">
        <v>1298</v>
      </c>
      <c r="K1104" s="11" t="str">
        <f>("10662671380316")</f>
        <v>10662671380316</v>
      </c>
      <c r="L1104" s="3">
        <v>1</v>
      </c>
      <c r="M1104" s="3"/>
    </row>
    <row r="1105" spans="1:13" x14ac:dyDescent="0.25">
      <c r="A1105" s="3" t="s">
        <v>1371</v>
      </c>
      <c r="B1105" s="10" t="s">
        <v>1351</v>
      </c>
      <c r="C1105" s="3" t="str">
        <f>("762661")</f>
        <v>762661</v>
      </c>
      <c r="D1105" s="11" t="str">
        <f>("662671380197")</f>
        <v>662671380197</v>
      </c>
      <c r="E1105" s="3">
        <v>383553</v>
      </c>
      <c r="F1105" s="8" t="s">
        <v>1304</v>
      </c>
      <c r="G1105" s="14">
        <v>112.92</v>
      </c>
      <c r="H1105" s="35">
        <v>45689</v>
      </c>
      <c r="I1105" s="3">
        <v>3.5939999999999999</v>
      </c>
      <c r="J1105" s="3" t="s">
        <v>1298</v>
      </c>
      <c r="K1105" s="11" t="str">
        <f>("10662671380194")</f>
        <v>10662671380194</v>
      </c>
      <c r="L1105" s="3">
        <v>5</v>
      </c>
      <c r="M1105" s="3">
        <v>90</v>
      </c>
    </row>
    <row r="1106" spans="1:13" x14ac:dyDescent="0.25">
      <c r="A1106" s="3" t="s">
        <v>1371</v>
      </c>
      <c r="B1106" s="10" t="s">
        <v>1351</v>
      </c>
      <c r="C1106" s="3" t="str">
        <f>("762671")</f>
        <v>762671</v>
      </c>
      <c r="D1106" s="11" t="str">
        <f>("662671380203")</f>
        <v>662671380203</v>
      </c>
      <c r="E1106" s="3">
        <v>383554</v>
      </c>
      <c r="F1106" s="8" t="s">
        <v>1305</v>
      </c>
      <c r="G1106" s="14">
        <v>125.48</v>
      </c>
      <c r="H1106" s="35">
        <v>45689</v>
      </c>
      <c r="I1106" s="3">
        <v>3.7589999999999999</v>
      </c>
      <c r="J1106" s="3" t="s">
        <v>1298</v>
      </c>
      <c r="K1106" s="11" t="str">
        <f>("10662671380200")</f>
        <v>10662671380200</v>
      </c>
      <c r="L1106" s="3">
        <v>5</v>
      </c>
      <c r="M1106" s="3">
        <v>90</v>
      </c>
    </row>
    <row r="1107" spans="1:13" x14ac:dyDescent="0.25">
      <c r="A1107" s="3" t="s">
        <v>1371</v>
      </c>
      <c r="B1107" s="10" t="s">
        <v>1351</v>
      </c>
      <c r="C1107" s="3" t="str">
        <f>("762681")</f>
        <v>762681</v>
      </c>
      <c r="D1107" s="11" t="str">
        <f>("662671380364")</f>
        <v>662671380364</v>
      </c>
      <c r="E1107" s="3">
        <v>383555</v>
      </c>
      <c r="F1107" s="8" t="s">
        <v>1306</v>
      </c>
      <c r="G1107" s="14">
        <v>65.260000000000005</v>
      </c>
      <c r="H1107" s="35">
        <v>45689</v>
      </c>
      <c r="I1107" s="3">
        <v>3.7919999999999998</v>
      </c>
      <c r="J1107" s="3" t="s">
        <v>1298</v>
      </c>
      <c r="K1107" s="11" t="str">
        <f>("10662671380361")</f>
        <v>10662671380361</v>
      </c>
      <c r="L1107" s="3">
        <v>5</v>
      </c>
      <c r="M1107" s="3">
        <v>625</v>
      </c>
    </row>
    <row r="1108" spans="1:13" x14ac:dyDescent="0.25">
      <c r="A1108" s="3" t="s">
        <v>1371</v>
      </c>
      <c r="B1108" s="10" t="s">
        <v>1351</v>
      </c>
      <c r="C1108" s="3" t="str">
        <f>("762689")</f>
        <v>762689</v>
      </c>
      <c r="D1108" s="11" t="str">
        <f>("662671380234")</f>
        <v>662671380234</v>
      </c>
      <c r="E1108" s="3">
        <v>383556</v>
      </c>
      <c r="F1108" s="8" t="s">
        <v>1307</v>
      </c>
      <c r="G1108" s="14">
        <v>160.79</v>
      </c>
      <c r="H1108" s="35">
        <v>45689</v>
      </c>
      <c r="I1108" s="3">
        <v>6.8079999999999998</v>
      </c>
      <c r="J1108" s="3" t="s">
        <v>1298</v>
      </c>
      <c r="K1108" s="11" t="str">
        <f>("10662671380231")</f>
        <v>10662671380231</v>
      </c>
      <c r="L1108" s="3">
        <v>2</v>
      </c>
      <c r="M1108" s="3">
        <v>36</v>
      </c>
    </row>
    <row r="1109" spans="1:13" x14ac:dyDescent="0.25">
      <c r="A1109" s="3" t="s">
        <v>1371</v>
      </c>
      <c r="B1109" s="10" t="s">
        <v>1351</v>
      </c>
      <c r="C1109" s="3" t="str">
        <f>("762691")</f>
        <v>762691</v>
      </c>
      <c r="D1109" s="11" t="str">
        <f>("662671380326")</f>
        <v>662671380326</v>
      </c>
      <c r="E1109" s="3" t="s">
        <v>1308</v>
      </c>
      <c r="F1109" s="8" t="s">
        <v>1309</v>
      </c>
      <c r="G1109" s="14">
        <v>28.85</v>
      </c>
      <c r="H1109" s="35">
        <v>45689</v>
      </c>
      <c r="I1109" s="3">
        <v>0.97899999999999998</v>
      </c>
      <c r="J1109" s="3" t="s">
        <v>1298</v>
      </c>
      <c r="K1109" s="11" t="str">
        <f>("10662671380323")</f>
        <v>10662671380323</v>
      </c>
      <c r="L1109" s="3">
        <v>1</v>
      </c>
      <c r="M1109" s="3"/>
    </row>
    <row r="1110" spans="1:13" x14ac:dyDescent="0.25">
      <c r="A1110" s="3" t="s">
        <v>1371</v>
      </c>
      <c r="B1110" s="10" t="s">
        <v>1351</v>
      </c>
      <c r="C1110" s="3" t="str">
        <f>("762693")</f>
        <v>762693</v>
      </c>
      <c r="D1110" s="11" t="str">
        <f>("662671380333")</f>
        <v>662671380333</v>
      </c>
      <c r="E1110" s="3" t="s">
        <v>1310</v>
      </c>
      <c r="F1110" s="8" t="s">
        <v>1311</v>
      </c>
      <c r="G1110" s="14">
        <v>33.19</v>
      </c>
      <c r="H1110" s="35">
        <v>45689</v>
      </c>
      <c r="I1110" s="3">
        <v>1.19</v>
      </c>
      <c r="J1110" s="3" t="s">
        <v>1298</v>
      </c>
      <c r="K1110" s="11" t="str">
        <f>("10662671380330")</f>
        <v>10662671380330</v>
      </c>
      <c r="L1110" s="3">
        <v>1</v>
      </c>
      <c r="M1110" s="3"/>
    </row>
    <row r="1111" spans="1:13" x14ac:dyDescent="0.25">
      <c r="A1111" s="3" t="s">
        <v>1371</v>
      </c>
      <c r="B1111" s="10" t="s">
        <v>1351</v>
      </c>
      <c r="C1111" s="3" t="str">
        <f>("762738")</f>
        <v>762738</v>
      </c>
      <c r="D1111" s="11" t="str">
        <f>("662671380210")</f>
        <v>662671380210</v>
      </c>
      <c r="E1111" s="3">
        <v>384750</v>
      </c>
      <c r="F1111" s="8" t="s">
        <v>1312</v>
      </c>
      <c r="G1111" s="14">
        <v>116.19</v>
      </c>
      <c r="H1111" s="35">
        <v>45689</v>
      </c>
      <c r="I1111" s="3">
        <v>5.7190000000000003</v>
      </c>
      <c r="J1111" s="3" t="s">
        <v>1298</v>
      </c>
      <c r="K1111" s="11" t="str">
        <f>("30662671380211")</f>
        <v>30662671380211</v>
      </c>
      <c r="L1111" s="3">
        <v>2</v>
      </c>
      <c r="M1111" s="3">
        <v>96</v>
      </c>
    </row>
    <row r="1112" spans="1:13" x14ac:dyDescent="0.25">
      <c r="A1112" s="3" t="s">
        <v>1371</v>
      </c>
      <c r="B1112" s="10" t="s">
        <v>1351</v>
      </c>
      <c r="C1112" s="3" t="str">
        <f>("762740")</f>
        <v>762740</v>
      </c>
      <c r="D1112" s="11" t="str">
        <f>("662671021472")</f>
        <v>662671021472</v>
      </c>
      <c r="E1112" s="3" t="s">
        <v>1313</v>
      </c>
      <c r="F1112" s="8" t="s">
        <v>1314</v>
      </c>
      <c r="G1112" s="14">
        <v>8.64</v>
      </c>
      <c r="H1112" s="35">
        <v>45689</v>
      </c>
      <c r="I1112" s="3">
        <v>0.68100000000000005</v>
      </c>
      <c r="J1112" s="3" t="s">
        <v>1298</v>
      </c>
      <c r="K1112" s="11" t="str">
        <f>("10662671021479")</f>
        <v>10662671021479</v>
      </c>
      <c r="L1112" s="3">
        <v>1</v>
      </c>
      <c r="M1112" s="3"/>
    </row>
    <row r="1113" spans="1:13" x14ac:dyDescent="0.25">
      <c r="A1113" s="3" t="s">
        <v>1371</v>
      </c>
      <c r="B1113" s="10" t="s">
        <v>1351</v>
      </c>
      <c r="C1113" s="3" t="str">
        <f>("762742")</f>
        <v>762742</v>
      </c>
      <c r="D1113" s="11" t="str">
        <f>("662671021496")</f>
        <v>662671021496</v>
      </c>
      <c r="E1113" s="3" t="s">
        <v>1315</v>
      </c>
      <c r="F1113" s="8" t="s">
        <v>1316</v>
      </c>
      <c r="G1113" s="14">
        <v>13.68</v>
      </c>
      <c r="H1113" s="35">
        <v>45689</v>
      </c>
      <c r="I1113" s="3">
        <v>1.25</v>
      </c>
      <c r="J1113" s="3" t="s">
        <v>1298</v>
      </c>
      <c r="K1113" s="11" t="str">
        <f>("00662671021496")</f>
        <v>00662671021496</v>
      </c>
      <c r="L1113" s="3">
        <v>1</v>
      </c>
      <c r="M1113" s="3"/>
    </row>
    <row r="1114" spans="1:13" x14ac:dyDescent="0.25">
      <c r="A1114" s="3" t="s">
        <v>1371</v>
      </c>
      <c r="B1114" s="10" t="s">
        <v>1351</v>
      </c>
      <c r="C1114" s="3" t="str">
        <f>("762751")</f>
        <v>762751</v>
      </c>
      <c r="D1114" s="11" t="str">
        <f>("662671380227")</f>
        <v>662671380227</v>
      </c>
      <c r="E1114" s="3">
        <v>384751</v>
      </c>
      <c r="F1114" s="8" t="s">
        <v>1317</v>
      </c>
      <c r="G1114" s="14">
        <v>116.19</v>
      </c>
      <c r="H1114" s="35">
        <v>45689</v>
      </c>
      <c r="I1114" s="3">
        <v>5.8550000000000004</v>
      </c>
      <c r="J1114" s="3" t="s">
        <v>1298</v>
      </c>
      <c r="K1114" s="11" t="str">
        <f>("30662671380228")</f>
        <v>30662671380228</v>
      </c>
      <c r="L1114" s="3">
        <v>2</v>
      </c>
      <c r="M1114" s="3">
        <v>96</v>
      </c>
    </row>
    <row r="1115" spans="1:13" x14ac:dyDescent="0.25">
      <c r="A1115" s="3" t="s">
        <v>1371</v>
      </c>
      <c r="B1115" s="10" t="s">
        <v>1351</v>
      </c>
      <c r="C1115" s="3" t="str">
        <f>("780191")</f>
        <v>780191</v>
      </c>
      <c r="D1115" s="11" t="str">
        <f>("662671550361")</f>
        <v>662671550361</v>
      </c>
      <c r="E1115" s="3" t="s">
        <v>1318</v>
      </c>
      <c r="F1115" s="8" t="s">
        <v>1319</v>
      </c>
      <c r="G1115" s="14">
        <v>11.693486999999999</v>
      </c>
      <c r="H1115" s="35">
        <v>45689</v>
      </c>
      <c r="I1115" s="3">
        <v>0.40300000000000002</v>
      </c>
      <c r="J1115" s="3" t="s">
        <v>1320</v>
      </c>
      <c r="K1115" s="11" t="str">
        <f>("10662671550368")</f>
        <v>10662671550368</v>
      </c>
      <c r="L1115" s="3">
        <v>12</v>
      </c>
      <c r="M1115" s="3">
        <v>576</v>
      </c>
    </row>
    <row r="1116" spans="1:13" x14ac:dyDescent="0.25">
      <c r="A1116" s="3" t="s">
        <v>1371</v>
      </c>
      <c r="B1116" s="10" t="s">
        <v>1351</v>
      </c>
      <c r="C1116" s="3" t="str">
        <f>("780206")</f>
        <v>780206</v>
      </c>
      <c r="D1116" s="11" t="str">
        <f>("662671550378")</f>
        <v>662671550378</v>
      </c>
      <c r="E1116" s="3" t="s">
        <v>1321</v>
      </c>
      <c r="F1116" s="8" t="s">
        <v>1322</v>
      </c>
      <c r="G1116" s="14">
        <v>12.767645999999999</v>
      </c>
      <c r="H1116" s="35">
        <v>45689</v>
      </c>
      <c r="I1116" s="3">
        <v>0.69199999999999995</v>
      </c>
      <c r="J1116" s="3" t="s">
        <v>1320</v>
      </c>
      <c r="K1116" s="11" t="str">
        <f>("30662671550379")</f>
        <v>30662671550379</v>
      </c>
      <c r="L1116" s="3">
        <v>12</v>
      </c>
      <c r="M1116" s="3">
        <v>384</v>
      </c>
    </row>
    <row r="1117" spans="1:13" x14ac:dyDescent="0.25">
      <c r="A1117" s="3" t="s">
        <v>1371</v>
      </c>
      <c r="B1117" s="18" t="s">
        <v>1351</v>
      </c>
      <c r="C1117" s="17" t="str">
        <f>("780216")</f>
        <v>780216</v>
      </c>
      <c r="D1117" s="21" t="str">
        <f>("662671550385")</f>
        <v>662671550385</v>
      </c>
      <c r="E1117" s="17" t="s">
        <v>1323</v>
      </c>
      <c r="F1117" s="19" t="s">
        <v>1324</v>
      </c>
      <c r="G1117" s="14">
        <v>7.7461709999999986</v>
      </c>
      <c r="H1117" s="35">
        <v>45689</v>
      </c>
      <c r="I1117" s="17">
        <v>0.626</v>
      </c>
      <c r="J1117" s="17" t="s">
        <v>1320</v>
      </c>
      <c r="K1117" s="21" t="str">
        <f>("30662671550386")</f>
        <v>30662671550386</v>
      </c>
      <c r="L1117" s="17">
        <v>12</v>
      </c>
      <c r="M1117" s="17">
        <v>384</v>
      </c>
    </row>
    <row r="1118" spans="1:13" x14ac:dyDescent="0.25">
      <c r="A1118" s="3" t="s">
        <v>1371</v>
      </c>
      <c r="B1118" s="16" t="s">
        <v>1351</v>
      </c>
      <c r="C1118" s="24">
        <v>780022</v>
      </c>
      <c r="D1118" s="25">
        <v>662671072986</v>
      </c>
      <c r="E1118" s="24" t="s">
        <v>1356</v>
      </c>
      <c r="F1118" s="24" t="s">
        <v>1357</v>
      </c>
      <c r="G1118" s="14">
        <v>14.461847999999998</v>
      </c>
      <c r="H1118" s="35">
        <v>45689</v>
      </c>
      <c r="I1118" s="24">
        <v>0.72899999999999998</v>
      </c>
      <c r="J1118" s="24" t="s">
        <v>1320</v>
      </c>
      <c r="K1118" s="25">
        <v>10662671072983</v>
      </c>
      <c r="L1118" s="24">
        <v>12</v>
      </c>
      <c r="M1118" s="24">
        <v>192</v>
      </c>
    </row>
    <row r="1119" spans="1:13" x14ac:dyDescent="0.25">
      <c r="A1119" s="3" t="s">
        <v>1371</v>
      </c>
      <c r="B1119" s="16" t="s">
        <v>1351</v>
      </c>
      <c r="C1119" s="24">
        <v>780645</v>
      </c>
      <c r="D1119" s="25">
        <v>662671600011</v>
      </c>
      <c r="E1119" s="24" t="s">
        <v>1358</v>
      </c>
      <c r="F1119" s="24" t="s">
        <v>1359</v>
      </c>
      <c r="G1119" s="14">
        <v>13.544882999999999</v>
      </c>
      <c r="H1119" s="35">
        <v>45689</v>
      </c>
      <c r="I1119" s="24">
        <v>1.248</v>
      </c>
      <c r="J1119" s="24" t="s">
        <v>1320</v>
      </c>
      <c r="K1119" s="25">
        <v>10662671600018</v>
      </c>
      <c r="L1119" s="24">
        <v>10</v>
      </c>
      <c r="M1119" s="24"/>
    </row>
    <row r="1120" spans="1:13" x14ac:dyDescent="0.25">
      <c r="A1120" s="3" t="s">
        <v>1371</v>
      </c>
      <c r="B1120" s="16" t="s">
        <v>1351</v>
      </c>
      <c r="C1120" s="24">
        <v>780669</v>
      </c>
      <c r="D1120" s="25">
        <v>662671601186</v>
      </c>
      <c r="E1120" s="24" t="s">
        <v>1360</v>
      </c>
      <c r="F1120" s="24" t="s">
        <v>1361</v>
      </c>
      <c r="G1120" s="14">
        <v>15.876593999999999</v>
      </c>
      <c r="H1120" s="35">
        <v>45689</v>
      </c>
      <c r="I1120" s="24">
        <v>1.4590000000000001</v>
      </c>
      <c r="J1120" s="24" t="s">
        <v>1320</v>
      </c>
      <c r="K1120" s="25">
        <v>10662671601183</v>
      </c>
      <c r="L1120" s="24">
        <v>12</v>
      </c>
      <c r="M1120" s="24"/>
    </row>
    <row r="1121" spans="1:13" x14ac:dyDescent="0.25">
      <c r="A1121" s="3" t="s">
        <v>1371</v>
      </c>
      <c r="B1121" s="16" t="s">
        <v>1351</v>
      </c>
      <c r="C1121" s="24">
        <v>780727</v>
      </c>
      <c r="D1121" s="25">
        <v>662671600059</v>
      </c>
      <c r="E1121" s="24" t="s">
        <v>1362</v>
      </c>
      <c r="F1121" s="24" t="s">
        <v>1363</v>
      </c>
      <c r="G1121" s="14">
        <v>20.251826999999999</v>
      </c>
      <c r="H1121" s="35">
        <v>45689</v>
      </c>
      <c r="I1121" s="24">
        <v>2.0939999999999999</v>
      </c>
      <c r="J1121" s="24" t="s">
        <v>1320</v>
      </c>
      <c r="K1121" s="25">
        <v>10662671600056</v>
      </c>
      <c r="L1121" s="24">
        <v>5</v>
      </c>
      <c r="M1121" s="24"/>
    </row>
    <row r="1122" spans="1:13" x14ac:dyDescent="0.25">
      <c r="A1122" s="3" t="s">
        <v>1371</v>
      </c>
      <c r="B1122" s="16" t="s">
        <v>1351</v>
      </c>
      <c r="C1122" s="24">
        <v>783542</v>
      </c>
      <c r="D1122" s="25">
        <v>776744120112</v>
      </c>
      <c r="E1122" s="24" t="s">
        <v>1364</v>
      </c>
      <c r="F1122" s="24" t="s">
        <v>1365</v>
      </c>
      <c r="G1122" s="14">
        <v>20.251826999999999</v>
      </c>
      <c r="H1122" s="35">
        <v>45689</v>
      </c>
      <c r="I1122" s="24">
        <v>0.51100000000000001</v>
      </c>
      <c r="J1122" s="24" t="s">
        <v>1320</v>
      </c>
      <c r="K1122" s="25">
        <v>10776744120119</v>
      </c>
      <c r="L1122" s="24">
        <v>6</v>
      </c>
      <c r="M1122" s="24">
        <v>300</v>
      </c>
    </row>
    <row r="1123" spans="1:13" x14ac:dyDescent="0.25">
      <c r="A1123" s="3" t="s">
        <v>1371</v>
      </c>
      <c r="B1123" s="16" t="s">
        <v>1351</v>
      </c>
      <c r="C1123" s="24">
        <v>783543</v>
      </c>
      <c r="D1123" s="25">
        <v>776744913011</v>
      </c>
      <c r="E1123" s="24" t="s">
        <v>1366</v>
      </c>
      <c r="F1123" s="24" t="s">
        <v>1367</v>
      </c>
      <c r="G1123" s="14">
        <v>13.029636</v>
      </c>
      <c r="H1123" s="35">
        <v>45689</v>
      </c>
      <c r="I1123" s="24">
        <v>0.46700000000000003</v>
      </c>
      <c r="J1123" s="24" t="s">
        <v>1320</v>
      </c>
      <c r="K1123" s="25">
        <v>20776744913015</v>
      </c>
      <c r="L1123" s="24">
        <v>30</v>
      </c>
      <c r="M1123" s="24"/>
    </row>
    <row r="1124" spans="1:13" x14ac:dyDescent="0.25">
      <c r="A1124" s="3" t="s">
        <v>1371</v>
      </c>
      <c r="B1124" s="16" t="s">
        <v>1351</v>
      </c>
      <c r="C1124" s="24">
        <v>783555</v>
      </c>
      <c r="D1124" s="25">
        <v>662671640017</v>
      </c>
      <c r="E1124" s="24">
        <v>646015</v>
      </c>
      <c r="F1124" s="24" t="s">
        <v>1368</v>
      </c>
      <c r="G1124" s="14">
        <v>22.225484999999999</v>
      </c>
      <c r="H1124" s="35">
        <v>45689</v>
      </c>
      <c r="I1124" s="24">
        <v>0.53100000000000003</v>
      </c>
      <c r="J1124" s="24" t="s">
        <v>1320</v>
      </c>
      <c r="K1124" s="25">
        <v>10662671640014</v>
      </c>
      <c r="L1124" s="24">
        <v>6</v>
      </c>
      <c r="M1124" s="24">
        <v>216</v>
      </c>
    </row>
  </sheetData>
  <autoFilter ref="A1:M1124" xr:uid="{00000000-0001-0000-0000-000000000000}"/>
  <phoneticPr fontId="2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C321350601B84CA6A211BB3AF87B6B" ma:contentTypeVersion="13" ma:contentTypeDescription="Create a new document." ma:contentTypeScope="" ma:versionID="57e2c792eda8938ca868e580cd4282bd">
  <xsd:schema xmlns:xsd="http://www.w3.org/2001/XMLSchema" xmlns:xs="http://www.w3.org/2001/XMLSchema" xmlns:p="http://schemas.microsoft.com/office/2006/metadata/properties" xmlns:ns3="5cc45956-f96e-4086-9632-84dfe6d5d2f6" xmlns:ns4="b008ea84-657a-47e4-9690-b861384d0f22" targetNamespace="http://schemas.microsoft.com/office/2006/metadata/properties" ma:root="true" ma:fieldsID="c298cbcf0c5518cdc1604c4ac750771c" ns3:_="" ns4:_="">
    <xsd:import namespace="5cc45956-f96e-4086-9632-84dfe6d5d2f6"/>
    <xsd:import namespace="b008ea84-657a-47e4-9690-b861384d0f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45956-f96e-4086-9632-84dfe6d5d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8ea84-657a-47e4-9690-b861384d0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63FE74-6FA0-4680-8515-29F3859B4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45956-f96e-4086-9632-84dfe6d5d2f6"/>
    <ds:schemaRef ds:uri="b008ea84-657a-47e4-9690-b861384d0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7A99B7-2622-47D8-BBCA-40B832C4C748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b008ea84-657a-47e4-9690-b861384d0f22"/>
    <ds:schemaRef ds:uri="http://purl.org/dc/dcmitype/"/>
    <ds:schemaRef ds:uri="http://purl.org/dc/elements/1.1/"/>
    <ds:schemaRef ds:uri="http://schemas.microsoft.com/office/infopath/2007/PartnerControls"/>
    <ds:schemaRef ds:uri="5cc45956-f96e-4086-9632-84dfe6d5d2f6"/>
  </ds:schemaRefs>
</ds:datastoreItem>
</file>

<file path=customXml/itemProps3.xml><?xml version="1.0" encoding="utf-8"?>
<ds:datastoreItem xmlns:ds="http://schemas.openxmlformats.org/officeDocument/2006/customXml" ds:itemID="{694374A2-32BF-4C4F-9B7A-244359673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U19-020125-IPSP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Somers, Jim</dc:creator>
  <cp:lastModifiedBy>Sheppard, Paul</cp:lastModifiedBy>
  <dcterms:created xsi:type="dcterms:W3CDTF">2022-02-17T21:17:12Z</dcterms:created>
  <dcterms:modified xsi:type="dcterms:W3CDTF">2025-02-28T23:28:30Z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0x010100A2C321350601B84CA6A211BB3AF87B6B</vt:lpwstr>
  </property>
</Properties>
</file>